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 - sorted badly, DO NOT" sheetId="5" r:id="rId8"/>
    <sheet state="visible" name="RWC DATA" sheetId="6" r:id="rId9"/>
    <sheet state="visible" name="Ks DATA" sheetId="7" r:id="rId10"/>
    <sheet state="visible" name="PV DATA" sheetId="8" r:id="rId11"/>
    <sheet state="visible" name="218-221 WP + LWC" sheetId="9" r:id="rId12"/>
    <sheet state="visible" name="228 WP + LWC" sheetId="10" r:id="rId13"/>
    <sheet state="visible" name="33-34 WP + LWC" sheetId="11" r:id="rId14"/>
    <sheet state="visible" name="38-311 WP + LWC" sheetId="12" r:id="rId15"/>
    <sheet state="visible" name="315 WP + LWC" sheetId="13" r:id="rId16"/>
    <sheet state="visible" name="323 WP + LWC" sheetId="14" r:id="rId17"/>
    <sheet state="visible" name="325-327 WP + LWC" sheetId="15" r:id="rId18"/>
    <sheet state="visible" name="330 WP + LWC" sheetId="16" r:id="rId19"/>
    <sheet state="visible" name="44 WP + LWC" sheetId="17" r:id="rId20"/>
    <sheet state="visible" name="46 WP + LWC" sheetId="18" r:id="rId21"/>
    <sheet state="visible" name="411-412 WP + LWC" sheetId="19" r:id="rId22"/>
    <sheet state="visible" name="413-414 WP + LWC" sheetId="20" r:id="rId23"/>
    <sheet state="visible" name="425 WP + LWC" sheetId="21" r:id="rId24"/>
    <sheet state="visible" name="427 WP + LWC" sheetId="22" r:id="rId25"/>
    <sheet state="visible" name="54 WP + LWC" sheetId="23" r:id="rId26"/>
    <sheet state="visible" name="59 WP + LWC" sheetId="24" r:id="rId27"/>
    <sheet state="visible" name="523 WP + LWC" sheetId="25" r:id="rId28"/>
    <sheet state="visible" name="525 WP + LWC" sheetId="26" r:id="rId29"/>
    <sheet state="visible" name="719 WP + LWC" sheetId="27" r:id="rId30"/>
    <sheet state="visible" name="818 WP + LWC" sheetId="28" r:id="rId31"/>
  </sheets>
  <definedNames/>
  <calcPr/>
  <extLst>
    <ext uri="GoogleSheetsCustomDataVersion1">
      <go:sheetsCustomData xmlns:go="http://customooxmlschemas.google.com/" r:id="rId32" roundtripDataSignature="AMtx7mgPotgPKuOMASHzylCpkTKa4rjc5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gEDjT5UNGSmvZG9umtlyCnnlq3Wg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ixjnTF8KdcY1rDkuOq4Q8eLGQ1UA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5fcH4eMmT5ffqOqYY5xGZzy7Usw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ixtRcASMGUt/ddowspV9gl9bLylQ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jntOt9DnhUgVrvuutLI0qERJOqLw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jtasEl/1exWGaUOjbr1yAx1sATxA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gNER5pJrUvyHU3AqzZ9CHp8jtFmw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PGR6bIhkytoWZJvqKPa+kkl+Vdg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grwaUKE6If/aMzq/EGDwpajXX1p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ID#AAAAilhFjXM
Indra Boving    (2022-10-21 17:50:45)
For age, 0 = year 0, 1 = anything Y1 and older, 3 = ages combined
------
ID#AAAAilhFjXQ
Indra Boving    (2022-10-21 17:51:19)
3 = didn't split y0 and y1</t>
      </text>
    </comment>
    <comment authorId="0" ref="B186">
      <text>
        <t xml:space="preserve">======
ID#AAAAiAlDX_0
Indra Boving    (2022-10-19 17:18:20)
I think these were actually collected on this day, not 3/30</t>
      </text>
    </comment>
    <comment authorId="0" ref="N1">
      <text>
        <t xml:space="preserve">======
ID#AAAAgXi7wMI
Indra Boving    (2022-10-13 22:12:20)
some cells seemed like they'd been switched (i.e. bigger values for bottles alone then bottle with leaves in it) so I swapped them and noted "check" in the notes column to indicate that we might want to double check the envelope.</t>
      </text>
    </comment>
    <comment authorId="0" ref="B1">
      <text>
        <t xml:space="preserve">======
ID#AAAAhy5X5N4
Indra Boving    (2022-10-12 22:59:25)
some LFMS didnt line up with the dates of WP and WC collection, so I'm changing them here to match</t>
      </text>
    </comment>
    <comment authorId="0" ref="A1329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hZOmLnIQFctmH98ZOwf5LjpghBx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69">
      <text>
        <t xml:space="preserve">======
ID#AAAAi2YrmLo
Indra Boving    (2022-10-26 17:13:58)
These dry weights seem way too lower and/or the wet weights are way too big...entered wrong?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g+07aKvJtrstNXO4k/2A4Jz2Ff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01">
      <text>
        <t xml:space="preserve">======
ID#AAAAjFrkSAo
Indra Boving    (2022-10-28 15:43:21)
This is almost def LWC, but unclear if PD or MD -- check envelopes</t>
      </text>
    </comment>
  </commentList>
  <extLst>
    <ext uri="GoogleSheetsCustomDataVersion1">
      <go:sheetsCustomData xmlns:go="http://customooxmlschemas.google.com/" r:id="rId1" roundtripDataSignature="AMtx7mgRNuEWc+9S/8hkwPkqdgH7qKmTw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fu3qHwhALdHyHlqfxIlRE5nERg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gO4ZWfJRFxuhDprCbPamaHZl5Y3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ilps3rrWsOOEX/kgHw6CdS0b1T1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/NlxfEMW55YmswBZRi5y2QJjwAA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2wvSgBPLUczH1/I4Xcd/aqpoh8g=="/>
    </ext>
  </extLst>
</comments>
</file>

<file path=xl/sharedStrings.xml><?xml version="1.0" encoding="utf-8"?>
<sst xmlns="http://schemas.openxmlformats.org/spreadsheetml/2006/main" count="23714" uniqueCount="416">
  <si>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</si>
  <si>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</si>
  <si>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</si>
  <si>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</si>
  <si>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</si>
  <si>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</si>
  <si>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</si>
  <si>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</si>
  <si>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</si>
  <si>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</si>
  <si>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</si>
  <si>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</si>
  <si>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</si>
  <si>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</si>
  <si>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</si>
  <si>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</si>
  <si>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</si>
  <si>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</si>
  <si>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</si>
  <si>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</si>
  <si>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</si>
  <si>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</si>
  <si>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</si>
  <si>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</si>
  <si>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</si>
  <si>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</si>
  <si>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</si>
  <si>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</si>
  <si>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</si>
  <si>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</si>
  <si>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</si>
  <si>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</si>
  <si>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</si>
  <si>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</si>
  <si>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</si>
  <si>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</si>
  <si>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</si>
  <si>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</si>
  <si>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</si>
  <si>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</si>
  <si>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</si>
  <si>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</si>
  <si>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</si>
  <si>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</si>
  <si>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</si>
  <si>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Notes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</si>
  <si>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</si>
  <si>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</si>
  <si>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</si>
  <si>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</si>
  <si>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</si>
  <si>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</si>
  <si>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</si>
  <si>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</si>
  <si>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</si>
  <si>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</si>
  <si>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</si>
  <si>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</si>
  <si>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</si>
  <si>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</si>
  <si>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</si>
  <si>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blue oak</t>
  </si>
  <si>
    <t>ot</t>
  </si>
  <si>
    <t>near AT001</t>
  </si>
  <si>
    <t>beyond end into 2nd gully</t>
  </si>
  <si>
    <t>up hill</t>
  </si>
  <si>
    <t>old leaf = 0.2041g</t>
  </si>
  <si>
    <t>AT002</t>
  </si>
  <si>
    <t>10.19.2021</t>
  </si>
  <si>
    <t>bursting buds</t>
  </si>
  <si>
    <t>missing</t>
  </si>
  <si>
    <t>lots of leaves</t>
  </si>
  <si>
    <t>old leaves</t>
  </si>
  <si>
    <t>some values possibly too high</t>
  </si>
  <si>
    <t>no leaves</t>
  </si>
  <si>
    <t>near AT002</t>
  </si>
  <si>
    <t>past end towards valley</t>
  </si>
  <si>
    <t>AT003</t>
  </si>
  <si>
    <t>near AT003</t>
  </si>
  <si>
    <t>AT004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</si>
  <si>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</si>
  <si>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</si>
  <si>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</si>
  <si>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</si>
  <si>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</si>
  <si>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</si>
  <si>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</si>
  <si>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</si>
  <si>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</si>
  <si>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</si>
  <si>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</si>
  <si>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>Weathertop</t>
  </si>
  <si>
    <t>top of hill near parking</t>
  </si>
  <si>
    <t>top of hill in gully</t>
  </si>
  <si>
    <t>very long new stems (doing pressure potential on those)</t>
  </si>
  <si>
    <t>ARCA</t>
  </si>
  <si>
    <t>near 2380</t>
  </si>
  <si>
    <t>LEUC</t>
  </si>
  <si>
    <t>PineNeedle</t>
  </si>
  <si>
    <t>Site</t>
  </si>
  <si>
    <t>Plot</t>
  </si>
  <si>
    <t xml:space="preserve">SHIFT-Plot Name </t>
  </si>
  <si>
    <t xml:space="preserve">SHIFT-Unique ID </t>
  </si>
  <si>
    <t>SHIFT-ID</t>
  </si>
  <si>
    <t>Cucu Mesa</t>
  </si>
  <si>
    <t>Low</t>
  </si>
  <si>
    <t>SRL-015</t>
  </si>
  <si>
    <t>High</t>
  </si>
  <si>
    <t>SRL-010</t>
  </si>
  <si>
    <t>SRL-011</t>
  </si>
  <si>
    <t>SRL-014</t>
  </si>
  <si>
    <t>SRL-013</t>
  </si>
  <si>
    <t>SRL-012</t>
  </si>
  <si>
    <t>Hobbiton</t>
  </si>
  <si>
    <t>SRC-030</t>
  </si>
  <si>
    <t>SRC-017</t>
  </si>
  <si>
    <t>Lee has in notebook sample # 592</t>
  </si>
  <si>
    <t>SRC-019</t>
  </si>
  <si>
    <t>Lee has in notebook sample # 600</t>
  </si>
  <si>
    <t>SRL-017</t>
  </si>
  <si>
    <t>dropped from sampling because small canopy</t>
  </si>
  <si>
    <t>SRL-018</t>
  </si>
  <si>
    <t>SRL-016</t>
  </si>
  <si>
    <t>missing tag</t>
  </si>
  <si>
    <t>Chamise</t>
  </si>
  <si>
    <t>Shedd</t>
  </si>
  <si>
    <t>mislabeled 2086 in the lat-lon spreadsheet</t>
  </si>
  <si>
    <t>SRL-002</t>
  </si>
  <si>
    <t>SRL-008</t>
  </si>
  <si>
    <t>SRL-006</t>
  </si>
  <si>
    <t>SRL-005</t>
  </si>
  <si>
    <t>SRL-004</t>
  </si>
  <si>
    <t>SRC-031</t>
  </si>
  <si>
    <t>Lee has in notebook sample # 554</t>
  </si>
  <si>
    <t>Ridge</t>
  </si>
  <si>
    <t>SRC-028</t>
  </si>
  <si>
    <t>Lee has in notebook sample # 551</t>
  </si>
  <si>
    <t>MiddleEarth</t>
  </si>
  <si>
    <t>SRC-026</t>
  </si>
  <si>
    <t>SRC-025</t>
  </si>
  <si>
    <t>Lee has in notebook sample # 556</t>
  </si>
  <si>
    <t>SCR-027</t>
  </si>
  <si>
    <t>Lee has in notebook sample # 555</t>
  </si>
  <si>
    <t>Rohan</t>
  </si>
  <si>
    <t>SRC-024</t>
  </si>
  <si>
    <t>SRC-021</t>
  </si>
  <si>
    <t>Lee has in notebook sample # 557</t>
  </si>
  <si>
    <t>SRC-022</t>
  </si>
  <si>
    <t>Lee has in notebook sample # 460</t>
  </si>
  <si>
    <t>SRC-023</t>
  </si>
  <si>
    <t>Lee has in notebook sample # 560</t>
  </si>
  <si>
    <t>SRC-015</t>
  </si>
  <si>
    <t>Lee has in notebook sample # 559</t>
  </si>
  <si>
    <t>SRC-016</t>
  </si>
  <si>
    <t>Lee has in notebook sample # 599</t>
  </si>
  <si>
    <t>SRC-020</t>
  </si>
  <si>
    <t>Lee has in notebook sample # 598</t>
  </si>
  <si>
    <t>SRC-018</t>
  </si>
  <si>
    <t>Lee has in notebook sample #591</t>
  </si>
  <si>
    <t>Chamise-ARCA</t>
  </si>
  <si>
    <t>LEU</t>
  </si>
  <si>
    <t>Chamise-LEU</t>
  </si>
  <si>
    <t>Cucu-ARCA</t>
  </si>
  <si>
    <t>Cucu-LEU</t>
  </si>
  <si>
    <t>LL-ARCA</t>
  </si>
  <si>
    <t>LL-LEU</t>
  </si>
  <si>
    <t>Mislabel</t>
  </si>
  <si>
    <t>only shows up once for MD, week 19, tree tag doesn't exist. But 2384 not missing any data. Looks like probably 2004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</si>
  <si>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</si>
  <si>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</si>
  <si>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</si>
  <si>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</si>
  <si>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</si>
  <si>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</si>
  <si>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</si>
  <si>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</si>
  <si>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</si>
  <si>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</si>
  <si>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</si>
  <si>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</si>
  <si>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</si>
  <si>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</si>
  <si>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</si>
  <si>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</si>
  <si>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</si>
  <si>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 xml:space="preserve">B </t>
  </si>
  <si>
    <t xml:space="preserve">L </t>
  </si>
  <si>
    <t>"Y0b" not sure what the b is for</t>
  </si>
  <si>
    <t>Date_updated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</si>
  <si>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</si>
  <si>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</si>
  <si>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</si>
  <si>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</si>
  <si>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</si>
  <si>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</si>
  <si>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</si>
  <si>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</si>
  <si>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notes</t>
  </si>
  <si>
    <t>MD</t>
  </si>
  <si>
    <t>both</t>
  </si>
  <si>
    <t>Ignore site column</t>
  </si>
  <si>
    <t>Y1 = 1, Y0 = 0</t>
  </si>
  <si>
    <t>wet/dry weight columns will autopopulate</t>
  </si>
  <si>
    <t>PD</t>
  </si>
  <si>
    <t>stem</t>
  </si>
  <si>
    <t>leaf</t>
  </si>
  <si>
    <t>bottle weight is avg.</t>
  </si>
  <si>
    <t>switcghed wet and dry</t>
  </si>
  <si>
    <t>switched wet and dry</t>
  </si>
  <si>
    <t>cont_wet entered wrong?</t>
  </si>
  <si>
    <t>check</t>
  </si>
  <si>
    <t>ARCA near 2380</t>
  </si>
  <si>
    <t>BAPI</t>
  </si>
  <si>
    <t>ATLE</t>
  </si>
  <si>
    <t>LEU_cucu</t>
  </si>
  <si>
    <t>check, were switched aruond</t>
  </si>
  <si>
    <t>ARCA_ch</t>
  </si>
  <si>
    <t>ARCA_cucu</t>
  </si>
  <si>
    <t>check, were switched around</t>
  </si>
  <si>
    <t>check, witched?</t>
  </si>
  <si>
    <t>check, switched?</t>
  </si>
  <si>
    <t>LEU_CUCU</t>
  </si>
  <si>
    <t>ARCA_CH</t>
  </si>
  <si>
    <t>Rep</t>
  </si>
  <si>
    <t>rwc</t>
  </si>
  <si>
    <t>LDMC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</si>
  <si>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</si>
  <si>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</si>
  <si>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</si>
  <si>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</si>
  <si>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</si>
  <si>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</si>
  <si>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</si>
  <si>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only y0 growth</t>
  </si>
  <si>
    <t>0nly y0 growth</t>
  </si>
  <si>
    <t>no y1 leaves</t>
  </si>
  <si>
    <t>blue</t>
  </si>
  <si>
    <t>live</t>
  </si>
  <si>
    <t xml:space="preserve">leaf </t>
  </si>
  <si>
    <t>blue- note made possible loss of tissue for SDM</t>
  </si>
  <si>
    <t>Check?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</si>
  <si>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</si>
  <si>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</si>
  <si>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</si>
  <si>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</si>
  <si>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</si>
  <si>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</si>
  <si>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</si>
  <si>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</si>
  <si>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</si>
  <si>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</si>
  <si>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</si>
  <si>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</si>
  <si>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</si>
  <si>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</si>
  <si>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</si>
  <si>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</si>
  <si>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</si>
  <si>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</si>
  <si>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</si>
  <si>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</si>
  <si>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</si>
  <si>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</si>
  <si>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</si>
  <si>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</si>
  <si>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</si>
  <si>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</si>
  <si>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</si>
  <si>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</si>
  <si>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</si>
  <si>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</si>
  <si>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</si>
  <si>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</si>
  <si>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</si>
  <si>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</si>
  <si>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</si>
  <si>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</si>
  <si>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</si>
  <si>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</si>
  <si>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</si>
  <si>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</si>
  <si>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</si>
  <si>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</si>
  <si>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</si>
  <si>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</si>
  <si>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</si>
  <si>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</si>
  <si>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</si>
  <si>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</si>
  <si>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</si>
  <si>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</si>
  <si>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</si>
  <si>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</si>
  <si>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</si>
  <si>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</si>
  <si>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</si>
  <si>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</si>
  <si>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</si>
  <si>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</si>
  <si>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</si>
  <si>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</si>
  <si>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</si>
  <si>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</si>
  <si>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ExtraBlueHilltop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</si>
  <si>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</si>
  <si>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</si>
  <si>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</si>
  <si>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</si>
  <si>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</si>
  <si>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</si>
  <si>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Tree health (% crown mortality)</t>
  </si>
  <si>
    <t>Tree health (% lichen coverage)</t>
  </si>
  <si>
    <t>15m off transect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</si>
  <si>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</si>
  <si>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</si>
  <si>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</si>
  <si>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</si>
  <si>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Two of the main trunks are completely dead</t>
  </si>
  <si>
    <t>couldn't find</t>
  </si>
  <si>
    <t>, couldn't find</t>
  </si>
  <si>
    <t>waaaay off transect in valley bottom, 2 trunks</t>
  </si>
  <si>
    <t>cored</t>
  </si>
  <si>
    <t>&lt;5%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</si>
  <si>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</si>
  <si>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</si>
  <si>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</si>
  <si>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</si>
  <si>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</si>
  <si>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</si>
  <si>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</si>
  <si>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</si>
  <si>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</si>
  <si>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</si>
  <si>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</si>
  <si>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</si>
  <si>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 xml:space="preserve">hole in the middle </t>
  </si>
  <si>
    <t>closer to road, 3 big branches had to go 20cm for diameter</t>
  </si>
  <si>
    <t>past 1 from road, 3 big branches had to go 20cm for diameter</t>
  </si>
  <si>
    <t>smaller tree just NW of 2</t>
  </si>
  <si>
    <t>big tree near road NW of 1, kind of edge of draw</t>
  </si>
  <si>
    <t>extra extra</t>
  </si>
  <si>
    <t>unknown?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</si>
  <si>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</si>
  <si>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</si>
  <si>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</si>
  <si>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</si>
  <si>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</si>
  <si>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</si>
  <si>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</si>
  <si>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</si>
  <si>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</si>
  <si>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</si>
  <si>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</si>
  <si>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</si>
  <si>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</si>
  <si>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</si>
  <si>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</si>
  <si>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</si>
  <si>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</si>
  <si>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</si>
  <si>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</si>
  <si>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</si>
  <si>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</si>
  <si>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</si>
  <si>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</si>
  <si>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</si>
  <si>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</si>
  <si>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</si>
  <si>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</si>
  <si>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</si>
  <si>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</si>
  <si>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</si>
  <si>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</si>
  <si>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</si>
  <si>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</si>
  <si>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n/a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</si>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</sst>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2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  <scheme val="minor"/>
    </font>
    <font>
      <sz val="11.0"/>
      <color rgb="FF3C40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ADD7BA"/>
        <bgColor rgb="FFADD7BA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4" numFmtId="0" xfId="0" applyFont="1"/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vertical="bottom"/>
    </xf>
    <xf borderId="7" fillId="2" fontId="6" numFmtId="164" xfId="0" applyAlignment="1" applyBorder="1" applyFill="1" applyFont="1" applyNumberFormat="1">
      <alignment horizontal="left" readingOrder="0" vertical="bottom"/>
    </xf>
    <xf borderId="8" fillId="0" fontId="7" numFmtId="165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vertical="bottom"/>
    </xf>
    <xf borderId="6" fillId="0" fontId="5" numFmtId="2" xfId="0" applyAlignment="1" applyBorder="1" applyFont="1" applyNumberFormat="1">
      <alignment readingOrder="0" shrinkToFit="0" vertical="bottom" wrapText="0"/>
    </xf>
    <xf borderId="6" fillId="0" fontId="2" numFmtId="165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readingOrder="0" shrinkToFit="0" vertical="bottom" wrapText="0"/>
    </xf>
    <xf borderId="0" fillId="5" fontId="3" numFmtId="165" xfId="0" applyAlignment="1" applyFont="1" applyNumberFormat="1">
      <alignment horizontal="right" readingOrder="0" shrinkToFit="0" vertical="bottom" wrapText="0"/>
    </xf>
    <xf borderId="0" fillId="5" fontId="3" numFmtId="2" xfId="0" applyAlignment="1" applyFont="1" applyNumberFormat="1">
      <alignment horizontal="right" readingOrder="0" shrinkToFit="0" vertical="bottom" wrapText="0"/>
    </xf>
    <xf borderId="0" fillId="5" fontId="3" numFmtId="9" xfId="0" applyAlignment="1" applyFont="1" applyNumberForma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3" numFmtId="165" xfId="0" applyAlignment="1" applyFill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7" fontId="2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8" numFmtId="0" xfId="0" applyAlignment="1" applyFont="1">
      <alignment readingOrder="0"/>
    </xf>
    <xf borderId="0" fillId="7" fontId="8" numFmtId="0" xfId="0" applyFont="1"/>
    <xf borderId="0" fillId="7" fontId="2" numFmtId="0" xfId="0" applyAlignment="1" applyFont="1">
      <alignment horizontal="left" readingOrder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shrinkToFit="0" vertical="bottom" wrapText="0"/>
    </xf>
    <xf borderId="0" fillId="8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8" numFmtId="166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9" fontId="8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3" fontId="11" numFmtId="166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3" fontId="8" numFmtId="0" xfId="0" applyFont="1"/>
    <xf borderId="0" fillId="3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167" xfId="0" applyAlignment="1" applyFont="1" applyNumberFormat="1">
      <alignment horizontal="right" vertical="bottom"/>
    </xf>
    <xf borderId="0" fillId="0" fontId="8" numFmtId="168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6" fillId="0" fontId="14" numFmtId="0" xfId="0" applyAlignment="1" applyBorder="1" applyFont="1">
      <alignment shrinkToFit="0" wrapText="1"/>
    </xf>
    <xf borderId="8" fillId="0" fontId="14" numFmtId="0" xfId="0" applyBorder="1" applyFont="1"/>
    <xf borderId="9" fillId="3" fontId="13" numFmtId="0" xfId="0" applyBorder="1" applyFont="1"/>
    <xf borderId="9" fillId="5" fontId="13" numFmtId="0" xfId="0" applyBorder="1" applyFont="1"/>
    <xf borderId="0" fillId="0" fontId="13" numFmtId="164" xfId="0" applyFont="1" applyNumberFormat="1"/>
    <xf borderId="0" fillId="0" fontId="13" numFmtId="165" xfId="0" applyFont="1" applyNumberFormat="1"/>
    <xf borderId="0" fillId="0" fontId="13" numFmtId="164" xfId="0" applyAlignment="1" applyFont="1" applyNumberFormat="1">
      <alignment readingOrder="0"/>
    </xf>
    <xf borderId="0" fillId="0" fontId="13" numFmtId="165" xfId="0" applyAlignment="1" applyFont="1" applyNumberFormat="1">
      <alignment readingOrder="0"/>
    </xf>
    <xf borderId="0" fillId="0" fontId="13" numFmtId="1" xfId="0" applyAlignment="1" applyFont="1" applyNumberFormat="1">
      <alignment readingOrder="0"/>
    </xf>
    <xf borderId="0" fillId="0" fontId="13" numFmtId="1" xfId="0" applyFont="1" applyNumberFormat="1"/>
    <xf borderId="0" fillId="0" fontId="8" numFmtId="1" xfId="0" applyAlignment="1" applyFont="1" applyNumberFormat="1">
      <alignment readingOrder="0"/>
    </xf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3" numFmtId="168" xfId="0" applyAlignment="1" applyFont="1" applyNumberFormat="1">
      <alignment readingOrder="0"/>
    </xf>
    <xf borderId="8" fillId="0" fontId="15" numFmtId="0" xfId="0" applyAlignment="1" applyBorder="1" applyFont="1">
      <alignment shrinkToFit="0" wrapText="1"/>
    </xf>
    <xf borderId="10" fillId="0" fontId="14" numFmtId="0" xfId="0" applyBorder="1" applyFont="1"/>
    <xf borderId="0" fillId="0" fontId="13" numFmtId="9" xfId="0" applyFont="1" applyNumberFormat="1"/>
    <xf borderId="4" fillId="0" fontId="4" numFmtId="0" xfId="0" applyAlignment="1" applyBorder="1" applyFont="1">
      <alignment readingOrder="0"/>
    </xf>
    <xf borderId="9" fillId="5" fontId="13" numFmtId="9" xfId="0" applyBorder="1" applyFont="1" applyNumberFormat="1"/>
    <xf borderId="9" fillId="5" fontId="4" numFmtId="0" xfId="0" applyBorder="1" applyFont="1"/>
    <xf borderId="8" fillId="0" fontId="8" numFmtId="0" xfId="0" applyAlignment="1" applyBorder="1" applyFont="1">
      <alignment readingOrder="0"/>
    </xf>
    <xf borderId="0" fillId="0" fontId="8" numFmtId="3" xfId="0" applyAlignment="1" applyFont="1" applyNumberFormat="1">
      <alignment readingOrder="0"/>
    </xf>
    <xf borderId="0" fillId="10" fontId="8" numFmtId="0" xfId="0" applyFill="1" applyFont="1"/>
    <xf borderId="0" fillId="10" fontId="8" numFmtId="0" xfId="0" applyAlignment="1" applyFont="1">
      <alignment readingOrder="0"/>
    </xf>
    <xf borderId="0" fillId="0" fontId="8" numFmtId="16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11" fontId="8" numFmtId="0" xfId="0" applyAlignment="1" applyFill="1" applyFont="1">
      <alignment readingOrder="0"/>
    </xf>
    <xf borderId="0" fillId="11" fontId="8" numFmtId="0" xfId="0" applyFont="1"/>
    <xf borderId="0" fillId="11" fontId="13" numFmtId="165" xfId="0" applyAlignment="1" applyFont="1" applyNumberFormat="1">
      <alignment readingOrder="0"/>
    </xf>
    <xf borderId="0" fillId="10" fontId="13" numFmtId="165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3" fontId="8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9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0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1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3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4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5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6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7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D1" s="2"/>
      <c r="E1" s="2"/>
      <c r="F1" s="3"/>
      <c r="G1" s="4"/>
      <c r="H1" s="2"/>
      <c r="I1" s="2"/>
      <c r="J1" s="5"/>
      <c r="K1" s="5"/>
      <c r="L1" s="5"/>
      <c r="M1" s="6"/>
      <c r="N1" s="7"/>
      <c r="O1" s="2"/>
      <c r="P1" s="2"/>
      <c r="Q1" s="2"/>
      <c r="R1" s="8"/>
      <c r="S1" s="9"/>
      <c r="T1" s="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2"/>
      <c r="AK1" s="12"/>
      <c r="AL1" s="13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4"/>
      <c r="BK1" s="14"/>
      <c r="BL1" s="14"/>
    </row>
    <row r="2" ht="8.25" customHeight="1">
      <c r="A2" s="2"/>
      <c r="B2" s="2"/>
      <c r="C2" s="2"/>
      <c r="D2" s="2"/>
      <c r="E2" s="2"/>
      <c r="F2" s="3"/>
      <c r="G2" s="4"/>
      <c r="H2" s="2"/>
      <c r="I2" s="2"/>
      <c r="J2" s="5"/>
      <c r="K2" s="5"/>
      <c r="L2" s="5"/>
      <c r="M2" s="6"/>
      <c r="N2" s="7"/>
      <c r="O2" s="2"/>
      <c r="P2" s="2"/>
      <c r="Q2" s="2"/>
      <c r="R2" s="15"/>
      <c r="S2" s="16"/>
      <c r="T2" s="16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7"/>
      <c r="AJ2" s="12"/>
      <c r="AK2" s="12"/>
      <c r="AL2" s="13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4"/>
      <c r="BK2" s="14"/>
      <c r="BL2" s="14"/>
    </row>
    <row r="3" ht="15.75" customHeight="1">
      <c r="A3" s="18" t="s">
        <v>1</v>
      </c>
      <c r="B3" s="12"/>
      <c r="C3" s="12"/>
      <c r="D3" s="18" t="s">
        <v>2</v>
      </c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/>
      <c r="AM3" s="12"/>
      <c r="AN3" s="12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18" t="s">
        <v>3</v>
      </c>
      <c r="B4" s="12"/>
      <c r="C4" s="12"/>
      <c r="D4" s="18" t="s">
        <v>4</v>
      </c>
      <c r="E4" s="2"/>
      <c r="F4" s="3"/>
      <c r="G4" s="4"/>
      <c r="H4" s="2"/>
      <c r="I4" s="2"/>
      <c r="J4" s="5"/>
      <c r="K4" s="5"/>
      <c r="L4" s="5"/>
      <c r="M4" s="6"/>
      <c r="N4" s="7"/>
      <c r="O4" s="2"/>
      <c r="P4" s="2"/>
      <c r="Q4" s="2"/>
      <c r="R4" s="15"/>
      <c r="S4" s="16"/>
      <c r="T4" s="16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7"/>
      <c r="AJ4" s="12"/>
      <c r="AK4" s="12"/>
      <c r="AL4" s="13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4"/>
      <c r="BK4" s="14"/>
      <c r="BL4" s="14"/>
    </row>
    <row r="5" ht="21.75" customHeight="1">
      <c r="A5" s="2"/>
      <c r="B5" s="2"/>
      <c r="C5" s="2"/>
      <c r="D5" s="2"/>
      <c r="E5" s="2"/>
      <c r="F5" s="3"/>
      <c r="G5" s="4"/>
      <c r="H5" s="2"/>
      <c r="I5" s="2"/>
      <c r="J5" s="5"/>
      <c r="K5" s="5"/>
      <c r="L5" s="5"/>
      <c r="M5" s="6"/>
      <c r="N5" s="7"/>
      <c r="O5" s="2"/>
      <c r="P5" s="2"/>
      <c r="Q5" s="2"/>
      <c r="R5" s="19" t="s">
        <v>5</v>
      </c>
      <c r="T5" s="18" t="s">
        <v>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0" t="s">
        <v>7</v>
      </c>
      <c r="AJ5" s="19" t="s">
        <v>8</v>
      </c>
      <c r="AL5" s="19" t="s">
        <v>9</v>
      </c>
      <c r="AN5" s="12"/>
      <c r="AO5" s="2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20" t="s">
        <v>10</v>
      </c>
      <c r="BJ5" s="14"/>
      <c r="BK5" s="22"/>
      <c r="BL5" s="23" t="s">
        <v>10</v>
      </c>
    </row>
    <row r="6" ht="15.75" customHeight="1">
      <c r="A6" s="24" t="s">
        <v>11</v>
      </c>
      <c r="B6" s="25" t="s">
        <v>12</v>
      </c>
      <c r="C6" s="25" t="s">
        <v>13</v>
      </c>
      <c r="D6" s="26" t="s">
        <v>14</v>
      </c>
      <c r="E6" s="27" t="s">
        <v>15</v>
      </c>
      <c r="F6" s="28" t="s">
        <v>16</v>
      </c>
      <c r="G6" s="29" t="s">
        <v>17</v>
      </c>
      <c r="H6" s="30" t="s">
        <v>18</v>
      </c>
      <c r="I6" s="30" t="s">
        <v>19</v>
      </c>
      <c r="J6" s="18" t="s">
        <v>20</v>
      </c>
      <c r="K6" s="30" t="s">
        <v>21</v>
      </c>
      <c r="L6" s="31" t="s">
        <v>22</v>
      </c>
      <c r="M6" s="32" t="s">
        <v>23</v>
      </c>
      <c r="N6" s="33" t="s">
        <v>24</v>
      </c>
      <c r="O6" s="34" t="s">
        <v>25</v>
      </c>
      <c r="P6" s="34" t="s">
        <v>26</v>
      </c>
      <c r="Q6" s="34" t="s">
        <v>27</v>
      </c>
      <c r="R6" s="34" t="s">
        <v>28</v>
      </c>
      <c r="S6" s="34" t="s">
        <v>29</v>
      </c>
      <c r="T6" s="34" t="s">
        <v>30</v>
      </c>
      <c r="U6" s="34" t="s">
        <v>31</v>
      </c>
      <c r="V6" s="34" t="s">
        <v>32</v>
      </c>
      <c r="W6" s="34" t="s">
        <v>33</v>
      </c>
      <c r="X6" s="34" t="s">
        <v>34</v>
      </c>
      <c r="Y6" s="34" t="s">
        <v>35</v>
      </c>
      <c r="Z6" s="34" t="s">
        <v>36</v>
      </c>
      <c r="AA6" s="34" t="s">
        <v>37</v>
      </c>
      <c r="AB6" s="34" t="s">
        <v>38</v>
      </c>
      <c r="AC6" s="34" t="s">
        <v>39</v>
      </c>
      <c r="AD6" s="34" t="s">
        <v>40</v>
      </c>
      <c r="AE6" s="34" t="s">
        <v>41</v>
      </c>
      <c r="AF6" s="34" t="s">
        <v>42</v>
      </c>
      <c r="AG6" s="34" t="s">
        <v>43</v>
      </c>
      <c r="AH6" s="34" t="s">
        <v>44</v>
      </c>
      <c r="AI6" s="34" t="s">
        <v>45</v>
      </c>
      <c r="AJ6" s="34" t="s">
        <v>28</v>
      </c>
      <c r="AK6" s="34" t="s">
        <v>29</v>
      </c>
      <c r="AL6" s="34" t="s">
        <v>30</v>
      </c>
      <c r="AM6" s="34" t="s">
        <v>31</v>
      </c>
      <c r="AN6" s="34" t="s">
        <v>32</v>
      </c>
      <c r="AO6" s="34" t="s">
        <v>33</v>
      </c>
      <c r="AP6" s="34" t="s">
        <v>34</v>
      </c>
      <c r="AQ6" s="34" t="s">
        <v>35</v>
      </c>
      <c r="AR6" s="34" t="s">
        <v>46</v>
      </c>
      <c r="AS6" s="34" t="s">
        <v>37</v>
      </c>
      <c r="AT6" s="34" t="s">
        <v>47</v>
      </c>
      <c r="AU6" s="34" t="s">
        <v>38</v>
      </c>
      <c r="AV6" s="34" t="s">
        <v>48</v>
      </c>
      <c r="AW6" s="34" t="s">
        <v>39</v>
      </c>
      <c r="AX6" s="34" t="s">
        <v>49</v>
      </c>
      <c r="AY6" s="34" t="s">
        <v>40</v>
      </c>
      <c r="AZ6" s="34" t="s">
        <v>50</v>
      </c>
      <c r="BA6" s="34" t="s">
        <v>41</v>
      </c>
      <c r="BB6" s="34" t="s">
        <v>51</v>
      </c>
      <c r="BC6" s="34" t="s">
        <v>42</v>
      </c>
      <c r="BD6" s="34" t="s">
        <v>52</v>
      </c>
      <c r="BE6" s="34" t="s">
        <v>43</v>
      </c>
      <c r="BF6" s="34" t="s">
        <v>53</v>
      </c>
      <c r="BG6" s="34" t="s">
        <v>44</v>
      </c>
      <c r="BH6" s="34" t="s">
        <v>54</v>
      </c>
      <c r="BI6" s="34" t="s">
        <v>45</v>
      </c>
      <c r="BJ6" s="35" t="s">
        <v>44</v>
      </c>
      <c r="BK6" s="35" t="s">
        <v>54</v>
      </c>
      <c r="BL6" s="36" t="s">
        <v>45</v>
      </c>
    </row>
    <row r="7" ht="17.25" customHeight="1">
      <c r="A7" s="18" t="s">
        <v>55</v>
      </c>
      <c r="B7" s="18" t="s">
        <v>56</v>
      </c>
      <c r="C7" s="37">
        <v>2352.0</v>
      </c>
      <c r="D7" s="18" t="s">
        <v>57</v>
      </c>
      <c r="E7" s="37">
        <v>21.0</v>
      </c>
      <c r="F7" s="38">
        <v>6.4</v>
      </c>
      <c r="G7" s="39">
        <v>53.5</v>
      </c>
      <c r="H7" s="39">
        <v>0.0</v>
      </c>
      <c r="I7" s="39">
        <v>0.0</v>
      </c>
      <c r="J7" s="2"/>
      <c r="K7" s="39">
        <v>543.25</v>
      </c>
      <c r="L7" s="38" t="s">
        <v>58</v>
      </c>
      <c r="M7" s="38">
        <v>12.875</v>
      </c>
      <c r="N7" s="40">
        <v>2.29</v>
      </c>
      <c r="O7" s="40">
        <v>2.4</v>
      </c>
      <c r="P7" s="2"/>
      <c r="Q7" s="41" t="s">
        <v>59</v>
      </c>
      <c r="R7" s="15"/>
      <c r="S7" s="16"/>
      <c r="T7" s="16"/>
      <c r="U7" s="12"/>
      <c r="V7" s="12"/>
      <c r="W7" s="12"/>
      <c r="X7" s="12"/>
      <c r="Y7" s="12"/>
      <c r="Z7" s="12"/>
      <c r="AA7" s="37">
        <v>2.47</v>
      </c>
      <c r="AB7" s="37">
        <v>2.5</v>
      </c>
      <c r="AC7" s="37">
        <v>1.96</v>
      </c>
      <c r="AD7" s="37">
        <v>2.04</v>
      </c>
      <c r="AE7" s="37">
        <v>2.4</v>
      </c>
      <c r="AF7" s="21"/>
      <c r="AG7" s="21"/>
      <c r="AH7" s="37">
        <v>2.274</v>
      </c>
      <c r="AI7" s="17"/>
      <c r="AJ7" s="12"/>
      <c r="AK7" s="12"/>
      <c r="AL7" s="13"/>
      <c r="AM7" s="12"/>
      <c r="AN7" s="12"/>
      <c r="AO7" s="12"/>
      <c r="AP7" s="12"/>
      <c r="AQ7" s="12"/>
      <c r="AR7" s="12"/>
      <c r="AS7" s="37">
        <v>3.5</v>
      </c>
      <c r="AT7" s="37">
        <v>0.2461</v>
      </c>
      <c r="AU7" s="37">
        <v>1.75</v>
      </c>
      <c r="AV7" s="37">
        <v>0.2196</v>
      </c>
      <c r="AW7" s="37">
        <v>1.85</v>
      </c>
      <c r="AX7" s="37">
        <v>0.1721</v>
      </c>
      <c r="AY7" s="37">
        <v>2.95</v>
      </c>
      <c r="AZ7" s="37">
        <v>0.21</v>
      </c>
      <c r="BA7" s="37">
        <v>2.0</v>
      </c>
      <c r="BB7" s="37">
        <v>0.2378</v>
      </c>
      <c r="BC7" s="37">
        <v>2.6</v>
      </c>
      <c r="BD7" s="37">
        <v>0.1909</v>
      </c>
      <c r="BE7" s="21"/>
      <c r="BF7" s="21"/>
      <c r="BG7" s="21"/>
      <c r="BH7" s="37">
        <v>0.241</v>
      </c>
      <c r="BI7" s="12"/>
      <c r="BJ7" s="14"/>
      <c r="BK7" s="22">
        <v>0.241</v>
      </c>
      <c r="BL7" s="14"/>
    </row>
    <row r="8" ht="17.25" customHeight="1">
      <c r="A8" s="18" t="s">
        <v>55</v>
      </c>
      <c r="B8" s="18" t="s">
        <v>56</v>
      </c>
      <c r="C8" s="37">
        <v>2353.0</v>
      </c>
      <c r="D8" s="18" t="s">
        <v>60</v>
      </c>
      <c r="E8" s="37">
        <v>44.0</v>
      </c>
      <c r="F8" s="38">
        <v>13.411</v>
      </c>
      <c r="G8" s="39">
        <v>45.3</v>
      </c>
      <c r="H8" s="39">
        <v>0.0</v>
      </c>
      <c r="I8" s="39">
        <v>0.0</v>
      </c>
      <c r="J8" s="2"/>
      <c r="K8" s="39">
        <v>441.15</v>
      </c>
      <c r="L8" s="38" t="s">
        <v>58</v>
      </c>
      <c r="M8" s="38">
        <v>8.963</v>
      </c>
      <c r="N8" s="40">
        <v>2.65</v>
      </c>
      <c r="O8" s="40">
        <v>3.15</v>
      </c>
      <c r="P8" s="40">
        <v>2.7</v>
      </c>
      <c r="Q8" s="41" t="s">
        <v>59</v>
      </c>
      <c r="R8" s="15"/>
      <c r="S8" s="16"/>
      <c r="T8" s="16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42" t="e">
        <v>#DIV/0!</v>
      </c>
      <c r="AI8" s="17"/>
      <c r="AJ8" s="12"/>
      <c r="AK8" s="12"/>
      <c r="AL8" s="13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4"/>
      <c r="BK8" s="14"/>
      <c r="BL8" s="14"/>
    </row>
    <row r="9" ht="17.25" customHeight="1">
      <c r="A9" s="18" t="s">
        <v>55</v>
      </c>
      <c r="B9" s="18" t="s">
        <v>56</v>
      </c>
      <c r="C9" s="43">
        <v>2354.0</v>
      </c>
      <c r="D9" s="18" t="s">
        <v>57</v>
      </c>
      <c r="E9" s="37">
        <v>45.0</v>
      </c>
      <c r="F9" s="38">
        <v>13.715</v>
      </c>
      <c r="G9" s="38">
        <v>62.5</v>
      </c>
      <c r="H9" s="39">
        <v>58.2</v>
      </c>
      <c r="I9" s="39">
        <v>0.0</v>
      </c>
      <c r="J9" s="2"/>
      <c r="K9" s="39">
        <v>193.59</v>
      </c>
      <c r="L9" s="38" t="s">
        <v>58</v>
      </c>
      <c r="M9" s="38">
        <v>12.466</v>
      </c>
      <c r="N9" s="40">
        <v>1.9</v>
      </c>
      <c r="O9" s="40">
        <v>2.7</v>
      </c>
      <c r="P9" s="40">
        <v>2.25</v>
      </c>
      <c r="Q9" s="41" t="s">
        <v>59</v>
      </c>
      <c r="R9" s="15"/>
      <c r="S9" s="16"/>
      <c r="T9" s="16"/>
      <c r="U9" s="12"/>
      <c r="V9" s="12"/>
      <c r="W9" s="12"/>
      <c r="X9" s="12"/>
      <c r="Y9" s="12"/>
      <c r="Z9" s="12"/>
      <c r="AA9" s="37">
        <v>1.78</v>
      </c>
      <c r="AB9" s="37">
        <v>0.962</v>
      </c>
      <c r="AC9" s="37">
        <v>2.64</v>
      </c>
      <c r="AD9" s="37">
        <v>1.92</v>
      </c>
      <c r="AE9" s="37">
        <v>1.54</v>
      </c>
      <c r="AF9" s="21"/>
      <c r="AG9" s="21"/>
      <c r="AH9" s="37">
        <v>1.7684</v>
      </c>
      <c r="AI9" s="17"/>
      <c r="AJ9" s="12"/>
      <c r="AK9" s="12"/>
      <c r="AL9" s="13"/>
      <c r="AM9" s="12"/>
      <c r="AN9" s="12"/>
      <c r="AO9" s="12"/>
      <c r="AP9" s="12"/>
      <c r="AQ9" s="12"/>
      <c r="AR9" s="12"/>
      <c r="AS9" s="37">
        <v>2.9</v>
      </c>
      <c r="AT9" s="37">
        <v>0.2881</v>
      </c>
      <c r="AU9" s="37">
        <v>1.69</v>
      </c>
      <c r="AV9" s="37">
        <v>0.284</v>
      </c>
      <c r="AW9" s="37">
        <v>1.7</v>
      </c>
      <c r="AX9" s="37">
        <v>0.2087</v>
      </c>
      <c r="AY9" s="37">
        <v>1.65</v>
      </c>
      <c r="AZ9" s="37">
        <v>0.3681</v>
      </c>
      <c r="BA9" s="21"/>
      <c r="BB9" s="21"/>
      <c r="BC9" s="21"/>
      <c r="BD9" s="12"/>
      <c r="BE9" s="12"/>
      <c r="BF9" s="12"/>
      <c r="BG9" s="12"/>
      <c r="BH9" s="37">
        <v>1.0383</v>
      </c>
      <c r="BI9" s="12"/>
      <c r="BJ9" s="14"/>
      <c r="BK9" s="22">
        <v>1.0383</v>
      </c>
      <c r="BL9" s="14"/>
    </row>
    <row r="10" ht="17.25" customHeight="1">
      <c r="A10" s="18" t="s">
        <v>55</v>
      </c>
      <c r="B10" s="18" t="s">
        <v>61</v>
      </c>
      <c r="C10" s="37">
        <v>2355.0</v>
      </c>
      <c r="D10" s="18" t="s">
        <v>57</v>
      </c>
      <c r="E10" s="37">
        <v>54.0</v>
      </c>
      <c r="F10" s="38">
        <v>16.458</v>
      </c>
      <c r="G10" s="39">
        <v>17.7</v>
      </c>
      <c r="H10" s="39">
        <v>0.0</v>
      </c>
      <c r="I10" s="39">
        <v>0.0</v>
      </c>
      <c r="J10" s="2"/>
      <c r="K10" s="39">
        <v>1411.96</v>
      </c>
      <c r="L10" s="38" t="s">
        <v>58</v>
      </c>
      <c r="M10" s="38">
        <v>11.63</v>
      </c>
      <c r="N10" s="40">
        <v>4.3</v>
      </c>
      <c r="O10" s="40">
        <v>4.05</v>
      </c>
      <c r="P10" s="2"/>
      <c r="Q10" s="41" t="s">
        <v>59</v>
      </c>
      <c r="R10" s="44">
        <v>2.0</v>
      </c>
      <c r="S10" s="37">
        <v>2.0</v>
      </c>
      <c r="T10" s="16"/>
      <c r="U10" s="21"/>
      <c r="V10" s="2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42" t="e">
        <v>#DIV/0!</v>
      </c>
      <c r="AI10" s="17"/>
      <c r="AJ10" s="12"/>
      <c r="AK10" s="12"/>
      <c r="AL10" s="13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4"/>
      <c r="BK10" s="14"/>
      <c r="BL10" s="14"/>
    </row>
    <row r="11" ht="17.25" customHeight="1">
      <c r="A11" s="18" t="s">
        <v>55</v>
      </c>
      <c r="B11" s="18" t="s">
        <v>61</v>
      </c>
      <c r="C11" s="45" t="s">
        <v>62</v>
      </c>
      <c r="D11" s="18" t="s">
        <v>60</v>
      </c>
      <c r="E11" s="37">
        <v>56.0</v>
      </c>
      <c r="F11" s="38">
        <v>17.068</v>
      </c>
      <c r="G11" s="39">
        <v>18.6</v>
      </c>
      <c r="H11" s="39">
        <v>0.0</v>
      </c>
      <c r="I11" s="39">
        <v>0.0</v>
      </c>
      <c r="J11" s="2"/>
      <c r="K11" s="39">
        <v>539.13</v>
      </c>
      <c r="L11" s="38" t="s">
        <v>58</v>
      </c>
      <c r="M11" s="38">
        <v>12.74</v>
      </c>
      <c r="N11" s="46"/>
      <c r="O11" s="46"/>
      <c r="P11" s="47"/>
      <c r="Q11" s="41" t="s">
        <v>59</v>
      </c>
      <c r="R11" s="15"/>
      <c r="S11" s="16"/>
      <c r="T11" s="1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42" t="e">
        <v>#DIV/0!</v>
      </c>
      <c r="AI11" s="17"/>
      <c r="AJ11" s="12"/>
      <c r="AK11" s="12"/>
      <c r="AL11" s="13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4"/>
      <c r="BK11" s="14"/>
      <c r="BL11" s="14"/>
    </row>
    <row r="12" ht="17.25" customHeight="1">
      <c r="A12" s="18" t="s">
        <v>55</v>
      </c>
      <c r="B12" s="18" t="s">
        <v>61</v>
      </c>
      <c r="C12" s="37">
        <v>2356.0</v>
      </c>
      <c r="D12" s="18" t="s">
        <v>57</v>
      </c>
      <c r="E12" s="37">
        <v>64.1</v>
      </c>
      <c r="F12" s="38">
        <v>19.537</v>
      </c>
      <c r="G12" s="39">
        <v>26.2</v>
      </c>
      <c r="H12" s="39">
        <v>0.0</v>
      </c>
      <c r="I12" s="39">
        <v>0.0</v>
      </c>
      <c r="J12" s="2"/>
      <c r="K12" s="39">
        <v>2248.01</v>
      </c>
      <c r="L12" s="38" t="s">
        <v>58</v>
      </c>
      <c r="M12" s="38">
        <v>13.899</v>
      </c>
      <c r="N12" s="46"/>
      <c r="O12" s="46"/>
      <c r="P12" s="2"/>
      <c r="Q12" s="41" t="s">
        <v>59</v>
      </c>
      <c r="R12" s="44">
        <v>3.0</v>
      </c>
      <c r="S12" s="37">
        <v>2.0</v>
      </c>
      <c r="T12" s="16"/>
      <c r="U12" s="21"/>
      <c r="V12" s="2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42" t="e">
        <v>#DIV/0!</v>
      </c>
      <c r="AI12" s="17"/>
      <c r="AJ12" s="12"/>
      <c r="AK12" s="12"/>
      <c r="AL12" s="13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4"/>
      <c r="BK12" s="14"/>
      <c r="BL12" s="14"/>
    </row>
    <row r="13" ht="17.25" customHeight="1">
      <c r="A13" s="18" t="s">
        <v>55</v>
      </c>
      <c r="B13" s="18" t="s">
        <v>61</v>
      </c>
      <c r="C13" s="37">
        <v>2357.0</v>
      </c>
      <c r="D13" s="18" t="s">
        <v>57</v>
      </c>
      <c r="E13" s="37">
        <v>70.0</v>
      </c>
      <c r="F13" s="38">
        <v>21.335</v>
      </c>
      <c r="G13" s="39">
        <v>23.6</v>
      </c>
      <c r="H13" s="39">
        <v>0.0</v>
      </c>
      <c r="I13" s="39">
        <v>0.0</v>
      </c>
      <c r="J13" s="2"/>
      <c r="K13" s="39">
        <v>1611.71</v>
      </c>
      <c r="L13" s="38" t="s">
        <v>58</v>
      </c>
      <c r="M13" s="38">
        <v>12.455</v>
      </c>
      <c r="N13" s="46"/>
      <c r="O13" s="46"/>
      <c r="P13" s="47"/>
      <c r="Q13" s="41" t="s">
        <v>59</v>
      </c>
      <c r="R13" s="44">
        <v>2.0</v>
      </c>
      <c r="S13" s="37">
        <v>4.0</v>
      </c>
      <c r="T13" s="16"/>
      <c r="U13" s="21"/>
      <c r="V13" s="2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42" t="e">
        <v>#DIV/0!</v>
      </c>
      <c r="AI13" s="17"/>
      <c r="AJ13" s="12"/>
      <c r="AK13" s="12"/>
      <c r="AL13" s="13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4"/>
      <c r="BK13" s="14"/>
      <c r="BL13" s="14"/>
    </row>
    <row r="14" ht="17.25" customHeight="1">
      <c r="A14" s="18" t="s">
        <v>55</v>
      </c>
      <c r="B14" s="18" t="s">
        <v>61</v>
      </c>
      <c r="C14" s="45" t="s">
        <v>62</v>
      </c>
      <c r="D14" s="18" t="s">
        <v>60</v>
      </c>
      <c r="E14" s="37">
        <v>73.0</v>
      </c>
      <c r="F14" s="38">
        <v>22.249</v>
      </c>
      <c r="G14" s="38">
        <v>16.9</v>
      </c>
      <c r="H14" s="39">
        <v>0.0</v>
      </c>
      <c r="I14" s="39">
        <v>0.0</v>
      </c>
      <c r="J14" s="2"/>
      <c r="K14" s="39">
        <v>246.06</v>
      </c>
      <c r="L14" s="38" t="s">
        <v>58</v>
      </c>
      <c r="M14" s="38">
        <v>10.21</v>
      </c>
      <c r="N14" s="46"/>
      <c r="O14" s="46"/>
      <c r="P14" s="47"/>
      <c r="Q14" s="41" t="s">
        <v>59</v>
      </c>
      <c r="R14" s="15"/>
      <c r="S14" s="16"/>
      <c r="T14" s="1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42" t="e">
        <v>#DIV/0!</v>
      </c>
      <c r="AI14" s="17"/>
      <c r="AJ14" s="12"/>
      <c r="AK14" s="12"/>
      <c r="AL14" s="13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4"/>
      <c r="BK14" s="14"/>
      <c r="BL14" s="14"/>
    </row>
    <row r="15" ht="17.25" customHeight="1">
      <c r="A15" s="18" t="s">
        <v>55</v>
      </c>
      <c r="B15" s="18" t="s">
        <v>61</v>
      </c>
      <c r="C15" s="37">
        <v>2358.0</v>
      </c>
      <c r="D15" s="18" t="s">
        <v>60</v>
      </c>
      <c r="E15" s="37">
        <v>74.5</v>
      </c>
      <c r="F15" s="38">
        <v>22.706</v>
      </c>
      <c r="G15" s="39">
        <v>26.5</v>
      </c>
      <c r="H15" s="39">
        <v>0.0</v>
      </c>
      <c r="I15" s="39">
        <v>0.0</v>
      </c>
      <c r="J15" s="2"/>
      <c r="K15" s="39">
        <v>271.72</v>
      </c>
      <c r="L15" s="38" t="s">
        <v>58</v>
      </c>
      <c r="M15" s="38">
        <v>9.528</v>
      </c>
      <c r="N15" s="46"/>
      <c r="O15" s="46"/>
      <c r="P15" s="2"/>
      <c r="Q15" s="41" t="s">
        <v>59</v>
      </c>
      <c r="R15" s="44">
        <v>0.0</v>
      </c>
      <c r="S15" s="37">
        <v>3.0</v>
      </c>
      <c r="T15" s="16"/>
      <c r="U15" s="21"/>
      <c r="V15" s="2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42" t="e">
        <v>#DIV/0!</v>
      </c>
      <c r="AI15" s="17"/>
      <c r="AJ15" s="12"/>
      <c r="AK15" s="12"/>
      <c r="AL15" s="13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4"/>
      <c r="BK15" s="14"/>
      <c r="BL15" s="14"/>
    </row>
    <row r="16" ht="17.25" customHeight="1">
      <c r="A16" s="18" t="s">
        <v>55</v>
      </c>
      <c r="B16" s="18" t="s">
        <v>61</v>
      </c>
      <c r="C16" s="37">
        <v>2359.0</v>
      </c>
      <c r="D16" s="18" t="s">
        <v>57</v>
      </c>
      <c r="E16" s="37">
        <v>79.1</v>
      </c>
      <c r="F16" s="38">
        <v>24.109</v>
      </c>
      <c r="G16" s="39">
        <v>15.7</v>
      </c>
      <c r="H16" s="39">
        <v>0.0</v>
      </c>
      <c r="I16" s="39">
        <v>0.0</v>
      </c>
      <c r="J16" s="2"/>
      <c r="K16" s="39">
        <v>437.44</v>
      </c>
      <c r="L16" s="38" t="s">
        <v>58</v>
      </c>
      <c r="M16" s="38">
        <v>7.75</v>
      </c>
      <c r="N16" s="40">
        <v>4.15</v>
      </c>
      <c r="O16" s="40">
        <v>4.2</v>
      </c>
      <c r="P16" s="47"/>
      <c r="Q16" s="41" t="s">
        <v>59</v>
      </c>
      <c r="R16" s="44">
        <v>0.0</v>
      </c>
      <c r="S16" s="37">
        <v>3.0</v>
      </c>
      <c r="T16" s="16"/>
      <c r="U16" s="21"/>
      <c r="V16" s="2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42" t="e">
        <v>#DIV/0!</v>
      </c>
      <c r="AI16" s="17"/>
      <c r="AJ16" s="12"/>
      <c r="AK16" s="12"/>
      <c r="AL16" s="13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4"/>
      <c r="BK16" s="14"/>
      <c r="BL16" s="14"/>
    </row>
    <row r="17" ht="17.25" customHeight="1">
      <c r="A17" s="18" t="s">
        <v>55</v>
      </c>
      <c r="B17" s="18" t="s">
        <v>61</v>
      </c>
      <c r="C17" s="45" t="s">
        <v>62</v>
      </c>
      <c r="D17" s="18" t="s">
        <v>60</v>
      </c>
      <c r="E17" s="37">
        <v>83.0</v>
      </c>
      <c r="F17" s="38">
        <v>25.297</v>
      </c>
      <c r="G17" s="38">
        <v>21.4</v>
      </c>
      <c r="H17" s="39">
        <v>0.0</v>
      </c>
      <c r="I17" s="39">
        <v>0.0</v>
      </c>
      <c r="J17" s="2"/>
      <c r="K17" s="39">
        <v>551.55</v>
      </c>
      <c r="L17" s="38" t="s">
        <v>58</v>
      </c>
      <c r="M17" s="38">
        <v>10.68</v>
      </c>
      <c r="N17" s="46"/>
      <c r="O17" s="46"/>
      <c r="P17" s="47"/>
      <c r="Q17" s="41" t="s">
        <v>59</v>
      </c>
      <c r="R17" s="15"/>
      <c r="S17" s="16"/>
      <c r="T17" s="1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42" t="e">
        <v>#DIV/0!</v>
      </c>
      <c r="AI17" s="17"/>
      <c r="AJ17" s="12"/>
      <c r="AK17" s="12"/>
      <c r="AL17" s="13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4"/>
      <c r="BK17" s="14"/>
      <c r="BL17" s="14"/>
    </row>
    <row r="18" ht="17.25" customHeight="1">
      <c r="A18" s="18" t="s">
        <v>55</v>
      </c>
      <c r="B18" s="18" t="s">
        <v>61</v>
      </c>
      <c r="C18" s="37">
        <v>2360.0</v>
      </c>
      <c r="D18" s="18" t="s">
        <v>60</v>
      </c>
      <c r="E18" s="37">
        <v>101.0</v>
      </c>
      <c r="F18" s="38">
        <v>30.783</v>
      </c>
      <c r="G18" s="38">
        <v>23.0</v>
      </c>
      <c r="H18" s="38">
        <v>0.0</v>
      </c>
      <c r="I18" s="38">
        <v>0.0</v>
      </c>
      <c r="J18" s="2"/>
      <c r="K18" s="38">
        <v>359.68</v>
      </c>
      <c r="L18" s="38" t="s">
        <v>58</v>
      </c>
      <c r="M18" s="38">
        <v>11.048</v>
      </c>
      <c r="N18" s="46"/>
      <c r="O18" s="46"/>
      <c r="P18" s="2"/>
      <c r="Q18" s="41" t="s">
        <v>59</v>
      </c>
      <c r="R18" s="44">
        <v>0.0</v>
      </c>
      <c r="S18" s="37">
        <v>5.0</v>
      </c>
      <c r="T18" s="16"/>
      <c r="U18" s="21"/>
      <c r="V18" s="2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42" t="e">
        <v>#DIV/0!</v>
      </c>
      <c r="AI18" s="17"/>
      <c r="AJ18" s="12"/>
      <c r="AK18" s="12"/>
      <c r="AL18" s="1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4"/>
      <c r="BK18" s="14"/>
      <c r="BL18" s="14"/>
    </row>
    <row r="19" ht="17.25" customHeight="1">
      <c r="A19" s="18" t="s">
        <v>55</v>
      </c>
      <c r="B19" s="18" t="s">
        <v>61</v>
      </c>
      <c r="C19" s="37">
        <v>2361.0</v>
      </c>
      <c r="D19" s="18" t="s">
        <v>57</v>
      </c>
      <c r="E19" s="37">
        <v>104.2</v>
      </c>
      <c r="F19" s="38">
        <v>31.759</v>
      </c>
      <c r="G19" s="38">
        <v>31.759</v>
      </c>
      <c r="H19" s="38">
        <v>0.0</v>
      </c>
      <c r="I19" s="38">
        <v>0.0</v>
      </c>
      <c r="J19" s="2"/>
      <c r="K19" s="38">
        <v>224.32</v>
      </c>
      <c r="L19" s="38" t="s">
        <v>58</v>
      </c>
      <c r="M19" s="38">
        <v>6.579</v>
      </c>
      <c r="N19" s="40">
        <v>2.9</v>
      </c>
      <c r="O19" s="40">
        <v>2.8</v>
      </c>
      <c r="P19" s="47"/>
      <c r="Q19" s="41" t="s">
        <v>59</v>
      </c>
      <c r="R19" s="44">
        <v>1.0</v>
      </c>
      <c r="S19" s="37">
        <v>2.0</v>
      </c>
      <c r="T19" s="16"/>
      <c r="U19" s="21"/>
      <c r="V19" s="2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2" t="e">
        <v>#DIV/0!</v>
      </c>
      <c r="AI19" s="17"/>
      <c r="AJ19" s="12"/>
      <c r="AK19" s="12"/>
      <c r="AL19" s="1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4"/>
      <c r="BK19" s="14"/>
      <c r="BL19" s="14"/>
    </row>
    <row r="20" ht="17.25" customHeight="1">
      <c r="A20" s="18" t="s">
        <v>55</v>
      </c>
      <c r="B20" s="18" t="s">
        <v>61</v>
      </c>
      <c r="C20" s="45" t="s">
        <v>62</v>
      </c>
      <c r="D20" s="18" t="s">
        <v>57</v>
      </c>
      <c r="E20" s="37">
        <v>111.0</v>
      </c>
      <c r="F20" s="38">
        <v>33.831</v>
      </c>
      <c r="G20" s="38">
        <v>30.4</v>
      </c>
      <c r="H20" s="38">
        <v>0.0</v>
      </c>
      <c r="I20" s="38">
        <v>0.0</v>
      </c>
      <c r="J20" s="2"/>
      <c r="K20" s="38">
        <v>415.48</v>
      </c>
      <c r="L20" s="38" t="s">
        <v>58</v>
      </c>
      <c r="M20" s="38">
        <v>6.151</v>
      </c>
      <c r="N20" s="46"/>
      <c r="O20" s="46"/>
      <c r="P20" s="47"/>
      <c r="Q20" s="41" t="s">
        <v>59</v>
      </c>
      <c r="R20" s="15"/>
      <c r="S20" s="16"/>
      <c r="T20" s="1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2" t="e">
        <v>#DIV/0!</v>
      </c>
      <c r="AI20" s="17"/>
      <c r="AJ20" s="12"/>
      <c r="AK20" s="12"/>
      <c r="AL20" s="1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4"/>
      <c r="BK20" s="14"/>
    </row>
    <row r="21" ht="17.25" customHeight="1">
      <c r="A21" s="18" t="s">
        <v>55</v>
      </c>
      <c r="B21" s="18" t="s">
        <v>61</v>
      </c>
      <c r="C21" s="37">
        <v>2362.0</v>
      </c>
      <c r="D21" s="48" t="s">
        <v>57</v>
      </c>
      <c r="E21" s="37">
        <v>114.0</v>
      </c>
      <c r="F21" s="38">
        <v>34.746</v>
      </c>
      <c r="G21" s="39">
        <v>18.0</v>
      </c>
      <c r="H21" s="38">
        <v>0.0</v>
      </c>
      <c r="I21" s="38">
        <v>0.0</v>
      </c>
      <c r="J21" s="2"/>
      <c r="K21" s="38">
        <v>725.83</v>
      </c>
      <c r="L21" s="38" t="s">
        <v>58</v>
      </c>
      <c r="M21" s="38">
        <v>8.449</v>
      </c>
      <c r="N21" s="40">
        <v>3.9</v>
      </c>
      <c r="O21" s="40">
        <v>3.8</v>
      </c>
      <c r="P21" s="47"/>
      <c r="Q21" s="41" t="s">
        <v>59</v>
      </c>
      <c r="R21" s="44">
        <v>1.0</v>
      </c>
      <c r="S21" s="37">
        <v>6.0</v>
      </c>
      <c r="T21" s="16"/>
      <c r="U21" s="21"/>
      <c r="V21" s="2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42" t="e">
        <v>#DIV/0!</v>
      </c>
      <c r="AI21" s="17"/>
      <c r="AJ21" s="12"/>
      <c r="AK21" s="12"/>
      <c r="AL21" s="1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4"/>
      <c r="BK21" s="14"/>
      <c r="BL21" s="14"/>
    </row>
    <row r="22" ht="17.25" customHeight="1">
      <c r="A22" s="18" t="s">
        <v>55</v>
      </c>
      <c r="B22" s="18" t="s">
        <v>61</v>
      </c>
      <c r="C22" s="37">
        <v>2363.0</v>
      </c>
      <c r="D22" s="18" t="s">
        <v>57</v>
      </c>
      <c r="E22" s="37">
        <v>118.0</v>
      </c>
      <c r="F22" s="38">
        <v>35.965</v>
      </c>
      <c r="G22" s="38">
        <v>23.8</v>
      </c>
      <c r="H22" s="38">
        <v>0.0</v>
      </c>
      <c r="I22" s="38">
        <v>0.0</v>
      </c>
      <c r="J22" s="2"/>
      <c r="K22" s="38">
        <v>444.88</v>
      </c>
      <c r="L22" s="38" t="s">
        <v>58</v>
      </c>
      <c r="M22" s="38">
        <v>9.366</v>
      </c>
      <c r="N22" s="46"/>
      <c r="O22" s="46"/>
      <c r="P22" s="2"/>
      <c r="Q22" s="41" t="s">
        <v>59</v>
      </c>
      <c r="R22" s="44">
        <v>2.0</v>
      </c>
      <c r="S22" s="37">
        <v>2.0</v>
      </c>
      <c r="T22" s="16"/>
      <c r="U22" s="21"/>
      <c r="V22" s="2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42" t="e">
        <v>#DIV/0!</v>
      </c>
      <c r="AI22" s="17"/>
      <c r="AJ22" s="12"/>
      <c r="AK22" s="12"/>
      <c r="AL22" s="13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K22" s="14"/>
      <c r="BL22" s="14"/>
    </row>
    <row r="23" ht="17.25" customHeight="1">
      <c r="A23" s="18" t="s">
        <v>55</v>
      </c>
      <c r="B23" s="18" t="s">
        <v>61</v>
      </c>
      <c r="C23" s="37">
        <v>2364.0</v>
      </c>
      <c r="D23" s="18" t="s">
        <v>57</v>
      </c>
      <c r="E23" s="37">
        <v>124.0</v>
      </c>
      <c r="F23" s="38">
        <v>37.793</v>
      </c>
      <c r="G23" s="38">
        <v>28.3</v>
      </c>
      <c r="H23" s="38">
        <v>0.0</v>
      </c>
      <c r="I23" s="38">
        <v>0.0</v>
      </c>
      <c r="J23" s="2"/>
      <c r="K23" s="38">
        <v>629.02</v>
      </c>
      <c r="L23" s="38" t="s">
        <v>58</v>
      </c>
      <c r="M23" s="38">
        <v>12.735</v>
      </c>
      <c r="N23" s="40">
        <v>4.3</v>
      </c>
      <c r="O23" s="40">
        <v>4.27</v>
      </c>
      <c r="P23" s="2"/>
      <c r="Q23" s="41" t="s">
        <v>59</v>
      </c>
      <c r="R23" s="44">
        <v>2.0</v>
      </c>
      <c r="S23" s="37">
        <v>1.0</v>
      </c>
      <c r="T23" s="16"/>
      <c r="U23" s="21"/>
      <c r="V23" s="2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42" t="e">
        <v>#DIV/0!</v>
      </c>
      <c r="AI23" s="17"/>
      <c r="AJ23" s="12"/>
      <c r="AK23" s="12"/>
      <c r="AL23" s="13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K23" s="14"/>
      <c r="BL23" s="14"/>
    </row>
    <row r="24" ht="17.25" customHeight="1">
      <c r="A24" s="18" t="s">
        <v>55</v>
      </c>
      <c r="B24" s="18" t="s">
        <v>61</v>
      </c>
      <c r="C24" s="37">
        <v>2365.0</v>
      </c>
      <c r="D24" s="18" t="s">
        <v>60</v>
      </c>
      <c r="E24" s="37">
        <v>126.3</v>
      </c>
      <c r="F24" s="38">
        <v>38.494</v>
      </c>
      <c r="G24" s="39">
        <v>42.4</v>
      </c>
      <c r="H24" s="38">
        <v>11.0</v>
      </c>
      <c r="I24" s="38">
        <v>0.0</v>
      </c>
      <c r="J24" s="2"/>
      <c r="K24" s="38">
        <v>343.88</v>
      </c>
      <c r="L24" s="38" t="s">
        <v>58</v>
      </c>
      <c r="M24" s="38">
        <v>8.118</v>
      </c>
      <c r="N24" s="40">
        <v>3.65</v>
      </c>
      <c r="O24" s="40">
        <v>3.85</v>
      </c>
      <c r="P24" s="2"/>
      <c r="Q24" s="41" t="s">
        <v>59</v>
      </c>
      <c r="R24" s="44">
        <v>1.0</v>
      </c>
      <c r="S24" s="37">
        <v>3.0</v>
      </c>
      <c r="T24" s="16"/>
      <c r="U24" s="21"/>
      <c r="V24" s="2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42" t="e">
        <v>#DIV/0!</v>
      </c>
      <c r="AI24" s="17"/>
      <c r="AJ24" s="12"/>
      <c r="AK24" s="12"/>
      <c r="AL24" s="44">
        <v>1.82</v>
      </c>
      <c r="AM24" s="37">
        <v>1.519</v>
      </c>
      <c r="AN24" s="37">
        <v>1.63</v>
      </c>
      <c r="AO24" s="21"/>
      <c r="AP24" s="21"/>
      <c r="AQ24" s="21"/>
      <c r="AR24" s="12"/>
      <c r="AS24" s="37">
        <v>1.65</v>
      </c>
      <c r="AT24" s="37">
        <v>0.0622</v>
      </c>
      <c r="AU24" s="37">
        <v>2.8</v>
      </c>
      <c r="AV24" s="37">
        <v>0.1227</v>
      </c>
      <c r="AW24" s="37">
        <v>1.85</v>
      </c>
      <c r="AX24" s="37">
        <v>0.14012</v>
      </c>
      <c r="AY24" s="21"/>
      <c r="AZ24" s="21"/>
      <c r="BA24" s="21"/>
      <c r="BB24" s="12"/>
      <c r="BC24" s="12"/>
      <c r="BD24" s="12"/>
      <c r="BE24" s="12"/>
      <c r="BF24" s="12"/>
      <c r="BG24" s="12"/>
      <c r="BH24" s="37">
        <v>2.0149</v>
      </c>
      <c r="BI24" s="12"/>
      <c r="BJ24" s="14"/>
      <c r="BK24" s="22">
        <v>2.0149</v>
      </c>
      <c r="BL24" s="14"/>
    </row>
    <row r="25" ht="17.25" customHeight="1">
      <c r="A25" s="18" t="s">
        <v>55</v>
      </c>
      <c r="B25" s="18" t="s">
        <v>61</v>
      </c>
      <c r="C25" s="37">
        <v>2366.0</v>
      </c>
      <c r="D25" s="48" t="s">
        <v>57</v>
      </c>
      <c r="E25" s="49">
        <v>135.7</v>
      </c>
      <c r="F25" s="38">
        <v>41.359</v>
      </c>
      <c r="G25" s="39">
        <v>26.3</v>
      </c>
      <c r="H25" s="38">
        <v>16.0</v>
      </c>
      <c r="I25" s="38">
        <v>0.0</v>
      </c>
      <c r="J25" s="2"/>
      <c r="K25" s="38">
        <v>744.31</v>
      </c>
      <c r="L25" s="38" t="s">
        <v>58</v>
      </c>
      <c r="M25" s="38">
        <v>11.305</v>
      </c>
      <c r="N25" s="40">
        <v>4.0</v>
      </c>
      <c r="O25" s="40">
        <v>3.55</v>
      </c>
      <c r="P25" s="40">
        <v>3.9</v>
      </c>
      <c r="Q25" s="41" t="s">
        <v>59</v>
      </c>
      <c r="R25" s="44">
        <v>1.0</v>
      </c>
      <c r="S25" s="37">
        <v>2.0</v>
      </c>
      <c r="T25" s="16"/>
      <c r="U25" s="21"/>
      <c r="V25" s="2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42" t="e">
        <v>#DIV/0!</v>
      </c>
      <c r="AI25" s="17"/>
      <c r="AJ25" s="12"/>
      <c r="AK25" s="12"/>
      <c r="AL25" s="44">
        <v>1.538</v>
      </c>
      <c r="AM25" s="37">
        <v>1.478</v>
      </c>
      <c r="AN25" s="12"/>
      <c r="AO25" s="21"/>
      <c r="AP25" s="21"/>
      <c r="AQ25" s="12"/>
      <c r="AR25" s="12"/>
      <c r="AS25" s="37">
        <v>2.01</v>
      </c>
      <c r="AT25" s="37">
        <v>0.3206</v>
      </c>
      <c r="AU25" s="37">
        <v>3.0</v>
      </c>
      <c r="AV25" s="37">
        <v>0.1546</v>
      </c>
      <c r="AW25" s="37">
        <v>1.85</v>
      </c>
      <c r="AX25" s="37">
        <v>0.1376</v>
      </c>
      <c r="AY25" s="21"/>
      <c r="AZ25" s="21"/>
      <c r="BA25" s="21"/>
      <c r="BB25" s="12"/>
      <c r="BC25" s="12"/>
      <c r="BD25" s="12"/>
      <c r="BE25" s="12"/>
      <c r="BF25" s="12"/>
      <c r="BG25" s="12"/>
      <c r="BH25" s="37">
        <v>0.174</v>
      </c>
      <c r="BI25" s="12"/>
      <c r="BJ25" s="14"/>
      <c r="BK25" s="22">
        <v>0.174</v>
      </c>
      <c r="BL25" s="14"/>
    </row>
    <row r="26" ht="17.25" customHeight="1">
      <c r="A26" s="18" t="s">
        <v>55</v>
      </c>
      <c r="B26" s="18" t="s">
        <v>61</v>
      </c>
      <c r="C26" s="45" t="s">
        <v>62</v>
      </c>
      <c r="D26" s="18" t="s">
        <v>57</v>
      </c>
      <c r="E26" s="37">
        <v>138.5</v>
      </c>
      <c r="F26" s="38">
        <v>42.213</v>
      </c>
      <c r="G26" s="38">
        <v>17.8</v>
      </c>
      <c r="H26" s="38">
        <v>0.0</v>
      </c>
      <c r="I26" s="38">
        <v>0.0</v>
      </c>
      <c r="J26" s="2"/>
      <c r="K26" s="38">
        <v>633.47</v>
      </c>
      <c r="L26" s="38" t="s">
        <v>58</v>
      </c>
      <c r="M26" s="38">
        <v>9.168</v>
      </c>
      <c r="N26" s="40">
        <v>2.75</v>
      </c>
      <c r="O26" s="40">
        <v>2.45</v>
      </c>
      <c r="P26" s="40">
        <v>2.7</v>
      </c>
      <c r="Q26" s="41" t="s">
        <v>59</v>
      </c>
      <c r="R26" s="15"/>
      <c r="S26" s="16"/>
      <c r="T26" s="1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42" t="e">
        <v>#DIV/0!</v>
      </c>
      <c r="AI26" s="17"/>
      <c r="AJ26" s="12"/>
      <c r="AK26" s="12"/>
      <c r="AL26" s="13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4"/>
      <c r="BK26" s="14"/>
      <c r="BL26" s="14"/>
    </row>
    <row r="27" ht="17.25" customHeight="1">
      <c r="A27" s="18" t="s">
        <v>55</v>
      </c>
      <c r="B27" s="18" t="s">
        <v>61</v>
      </c>
      <c r="C27" s="37">
        <v>2367.0</v>
      </c>
      <c r="D27" s="18" t="s">
        <v>60</v>
      </c>
      <c r="E27" s="37">
        <v>142.0</v>
      </c>
      <c r="F27" s="38">
        <v>43.279</v>
      </c>
      <c r="G27" s="38">
        <v>28.4</v>
      </c>
      <c r="H27" s="38">
        <v>0.0</v>
      </c>
      <c r="I27" s="38">
        <v>0.0</v>
      </c>
      <c r="J27" s="2"/>
      <c r="K27" s="38">
        <v>629.02</v>
      </c>
      <c r="L27" s="38" t="s">
        <v>58</v>
      </c>
      <c r="M27" s="38">
        <v>12.349</v>
      </c>
      <c r="N27" s="46"/>
      <c r="O27" s="46"/>
      <c r="P27" s="2"/>
      <c r="Q27" s="41" t="s">
        <v>59</v>
      </c>
      <c r="R27" s="44">
        <v>1.0</v>
      </c>
      <c r="S27" s="37">
        <v>1.0</v>
      </c>
      <c r="T27" s="16"/>
      <c r="U27" s="21"/>
      <c r="V27" s="2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42" t="e">
        <v>#DIV/0!</v>
      </c>
      <c r="AI27" s="17"/>
      <c r="AJ27" s="12"/>
      <c r="AK27" s="12"/>
      <c r="AL27" s="44">
        <v>1.49</v>
      </c>
      <c r="AM27" s="37">
        <v>1.483</v>
      </c>
      <c r="AN27" s="12"/>
      <c r="AO27" s="21"/>
      <c r="AP27" s="21"/>
      <c r="AQ27" s="12"/>
      <c r="AR27" s="12"/>
      <c r="AS27" s="37">
        <v>2.199</v>
      </c>
      <c r="AT27" s="37">
        <v>0.0536</v>
      </c>
      <c r="AU27" s="37">
        <v>2.305</v>
      </c>
      <c r="AV27" s="37">
        <v>0.0362</v>
      </c>
      <c r="AW27" s="37">
        <v>2.24</v>
      </c>
      <c r="AX27" s="37">
        <v>0.0206</v>
      </c>
      <c r="AY27" s="21"/>
      <c r="AZ27" s="21"/>
      <c r="BA27" s="21"/>
      <c r="BB27" s="12"/>
      <c r="BC27" s="12"/>
      <c r="BD27" s="12"/>
      <c r="BE27" s="12"/>
      <c r="BF27" s="12"/>
      <c r="BG27" s="12"/>
      <c r="BH27" s="37">
        <v>0.5031</v>
      </c>
      <c r="BI27" s="12"/>
      <c r="BJ27" s="14"/>
      <c r="BK27" s="22">
        <v>0.5031</v>
      </c>
      <c r="BL27" s="14"/>
    </row>
    <row r="28" ht="17.25" customHeight="1">
      <c r="A28" s="18" t="s">
        <v>55</v>
      </c>
      <c r="B28" s="18" t="s">
        <v>61</v>
      </c>
      <c r="C28" s="45" t="s">
        <v>62</v>
      </c>
      <c r="D28" s="18" t="s">
        <v>57</v>
      </c>
      <c r="E28" s="37">
        <v>144.0</v>
      </c>
      <c r="F28" s="38">
        <v>43.889</v>
      </c>
      <c r="G28" s="38">
        <v>26.3</v>
      </c>
      <c r="H28" s="38">
        <v>21.9</v>
      </c>
      <c r="I28" s="38">
        <v>13.6</v>
      </c>
      <c r="J28" s="2"/>
      <c r="K28" s="38">
        <v>836.11</v>
      </c>
      <c r="L28" s="38" t="s">
        <v>58</v>
      </c>
      <c r="M28" s="38">
        <v>8.61</v>
      </c>
      <c r="N28" s="46"/>
      <c r="O28" s="46"/>
      <c r="P28" s="47"/>
      <c r="Q28" s="41" t="s">
        <v>59</v>
      </c>
      <c r="R28" s="15"/>
      <c r="S28" s="16"/>
      <c r="T28" s="16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2" t="e">
        <v>#DIV/0!</v>
      </c>
      <c r="AI28" s="17"/>
      <c r="AJ28" s="12"/>
      <c r="AK28" s="12"/>
      <c r="AL28" s="13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4"/>
      <c r="BK28" s="14"/>
      <c r="BL28" s="14"/>
    </row>
    <row r="29" ht="17.25" customHeight="1">
      <c r="A29" s="18" t="s">
        <v>55</v>
      </c>
      <c r="B29" s="18" t="s">
        <v>61</v>
      </c>
      <c r="C29" s="45" t="s">
        <v>62</v>
      </c>
      <c r="D29" s="18" t="s">
        <v>57</v>
      </c>
      <c r="E29" s="37">
        <v>153.0</v>
      </c>
      <c r="F29" s="38">
        <v>46.632</v>
      </c>
      <c r="G29" s="38">
        <v>28.3</v>
      </c>
      <c r="H29" s="38">
        <v>59.2</v>
      </c>
      <c r="I29" s="38">
        <v>0.0</v>
      </c>
      <c r="J29" s="2"/>
      <c r="K29" s="38">
        <v>836.11</v>
      </c>
      <c r="L29" s="38" t="s">
        <v>58</v>
      </c>
      <c r="M29" s="38">
        <v>13.32</v>
      </c>
      <c r="N29" s="40">
        <v>3.2</v>
      </c>
      <c r="O29" s="40">
        <v>2.95</v>
      </c>
      <c r="P29" s="40">
        <v>3.0</v>
      </c>
      <c r="Q29" s="41" t="s">
        <v>59</v>
      </c>
      <c r="R29" s="15"/>
      <c r="S29" s="16"/>
      <c r="T29" s="1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42" t="e">
        <v>#DIV/0!</v>
      </c>
      <c r="AI29" s="17"/>
      <c r="AJ29" s="12"/>
      <c r="AK29" s="12"/>
      <c r="AL29" s="1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4"/>
      <c r="BK29" s="14"/>
      <c r="BL29" s="14"/>
    </row>
    <row r="30" ht="17.25" customHeight="1">
      <c r="A30" s="18" t="s">
        <v>55</v>
      </c>
      <c r="B30" s="18" t="s">
        <v>61</v>
      </c>
      <c r="C30" s="37">
        <v>2369.0</v>
      </c>
      <c r="D30" s="18" t="s">
        <v>57</v>
      </c>
      <c r="E30" s="37">
        <v>156.5</v>
      </c>
      <c r="F30" s="38">
        <v>47.699</v>
      </c>
      <c r="G30" s="38">
        <v>21.8</v>
      </c>
      <c r="H30" s="38">
        <v>20.0</v>
      </c>
      <c r="I30" s="38">
        <v>13.4</v>
      </c>
      <c r="J30" s="2"/>
      <c r="K30" s="38">
        <v>792.16</v>
      </c>
      <c r="L30" s="38" t="s">
        <v>58</v>
      </c>
      <c r="M30" s="38">
        <v>13.754</v>
      </c>
      <c r="N30" s="40">
        <v>4.0</v>
      </c>
      <c r="O30" s="40">
        <v>4.0</v>
      </c>
      <c r="P30" s="2"/>
      <c r="Q30" s="41" t="s">
        <v>59</v>
      </c>
      <c r="R30" s="44">
        <v>2.0</v>
      </c>
      <c r="S30" s="37">
        <v>0.0</v>
      </c>
      <c r="T30" s="16"/>
      <c r="U30" s="21"/>
      <c r="V30" s="2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2" t="e">
        <v>#DIV/0!</v>
      </c>
      <c r="AI30" s="17"/>
      <c r="AJ30" s="12"/>
      <c r="AK30" s="12"/>
      <c r="AL30" s="44">
        <v>1.46</v>
      </c>
      <c r="AM30" s="37">
        <v>1.441</v>
      </c>
      <c r="AN30" s="12"/>
      <c r="AO30" s="21"/>
      <c r="AP30" s="21"/>
      <c r="AQ30" s="12"/>
      <c r="AR30" s="12"/>
      <c r="AS30" s="37">
        <v>1.472</v>
      </c>
      <c r="AT30" s="37">
        <v>0.0579</v>
      </c>
      <c r="AU30" s="37">
        <v>2.41</v>
      </c>
      <c r="AV30" s="37">
        <v>0.1936</v>
      </c>
      <c r="AW30" s="37">
        <v>2.065</v>
      </c>
      <c r="AX30" s="37">
        <v>0.1857</v>
      </c>
      <c r="AY30" s="37">
        <v>2.86</v>
      </c>
      <c r="AZ30" s="37">
        <v>0.3714</v>
      </c>
      <c r="BA30" s="37">
        <v>2.156</v>
      </c>
      <c r="BB30" s="37">
        <v>0.1188</v>
      </c>
      <c r="BC30" s="37">
        <v>2.396</v>
      </c>
      <c r="BD30" s="37">
        <v>0.1398</v>
      </c>
      <c r="BE30" s="21"/>
      <c r="BF30" s="21"/>
      <c r="BG30" s="21"/>
      <c r="BH30" s="37">
        <v>1.0269</v>
      </c>
      <c r="BI30" s="12"/>
      <c r="BJ30" s="14"/>
      <c r="BK30" s="22">
        <v>1.0269</v>
      </c>
      <c r="BL30" s="14"/>
    </row>
    <row r="31" ht="17.25" customHeight="1">
      <c r="A31" s="18" t="s">
        <v>63</v>
      </c>
      <c r="B31" s="18" t="s">
        <v>56</v>
      </c>
      <c r="C31" s="37">
        <v>2376.0</v>
      </c>
      <c r="D31" s="12"/>
      <c r="E31" s="3"/>
      <c r="F31" s="4"/>
      <c r="G31" s="39">
        <v>56.7</v>
      </c>
      <c r="H31" s="39">
        <v>0.0</v>
      </c>
      <c r="I31" s="39">
        <v>0.0</v>
      </c>
      <c r="J31" s="2"/>
      <c r="K31" s="50"/>
      <c r="L31" s="6"/>
      <c r="M31" s="4"/>
      <c r="N31" s="46"/>
      <c r="O31" s="46"/>
      <c r="P31" s="2"/>
      <c r="Q31" s="2"/>
      <c r="R31" s="15"/>
      <c r="S31" s="16"/>
      <c r="T31" s="16"/>
      <c r="U31" s="12"/>
      <c r="V31" s="12"/>
      <c r="W31" s="12"/>
      <c r="X31" s="12"/>
      <c r="Y31" s="12"/>
      <c r="Z31" s="12"/>
      <c r="AA31" s="37">
        <v>2.19</v>
      </c>
      <c r="AB31" s="37">
        <v>1.73</v>
      </c>
      <c r="AC31" s="37">
        <v>1.7</v>
      </c>
      <c r="AD31" s="37">
        <v>1.65</v>
      </c>
      <c r="AE31" s="37">
        <v>1.58</v>
      </c>
      <c r="AF31" s="37">
        <v>1.3</v>
      </c>
      <c r="AG31" s="21"/>
      <c r="AH31" s="37">
        <v>1.691666667</v>
      </c>
      <c r="AI31" s="20" t="s">
        <v>64</v>
      </c>
      <c r="AJ31" s="12"/>
      <c r="AK31" s="12"/>
      <c r="AL31" s="51"/>
      <c r="AM31" s="21"/>
      <c r="AN31" s="21"/>
      <c r="AO31" s="21"/>
      <c r="AP31" s="21"/>
      <c r="AQ31" s="21"/>
      <c r="AR31" s="21"/>
      <c r="AS31" s="37">
        <v>2.231</v>
      </c>
      <c r="AT31" s="37">
        <v>0.3211</v>
      </c>
      <c r="AU31" s="37">
        <v>2.017</v>
      </c>
      <c r="AV31" s="37">
        <v>0.3991</v>
      </c>
      <c r="AW31" s="37">
        <v>4.306</v>
      </c>
      <c r="AX31" s="37">
        <v>0.3223</v>
      </c>
      <c r="AY31" s="37">
        <v>2.836</v>
      </c>
      <c r="AZ31" s="37">
        <v>0.5589</v>
      </c>
      <c r="BA31" s="37">
        <v>2.204</v>
      </c>
      <c r="BB31" s="37">
        <v>0.2249</v>
      </c>
      <c r="BC31" s="21"/>
      <c r="BD31" s="21"/>
      <c r="BE31" s="21"/>
      <c r="BF31" s="21"/>
      <c r="BG31" s="21"/>
      <c r="BH31" s="37">
        <v>1.8261</v>
      </c>
      <c r="BI31" s="21"/>
      <c r="BJ31" s="22"/>
      <c r="BK31" s="22">
        <v>1.8261</v>
      </c>
      <c r="BL31" s="22"/>
    </row>
    <row r="32" ht="17.25" customHeight="1">
      <c r="A32" s="18" t="s">
        <v>63</v>
      </c>
      <c r="B32" s="18" t="s">
        <v>56</v>
      </c>
      <c r="C32" s="37">
        <v>2377.0</v>
      </c>
      <c r="D32" s="12"/>
      <c r="E32" s="3"/>
      <c r="F32" s="4"/>
      <c r="G32" s="39">
        <v>66.6</v>
      </c>
      <c r="H32" s="39">
        <v>0.0</v>
      </c>
      <c r="I32" s="39">
        <v>0.0</v>
      </c>
      <c r="J32" s="2"/>
      <c r="K32" s="50"/>
      <c r="L32" s="6"/>
      <c r="M32" s="4"/>
      <c r="N32" s="46"/>
      <c r="O32" s="46"/>
      <c r="P32" s="2"/>
      <c r="Q32" s="2"/>
      <c r="R32" s="15"/>
      <c r="S32" s="16"/>
      <c r="T32" s="16"/>
      <c r="U32" s="12"/>
      <c r="V32" s="12"/>
      <c r="W32" s="12"/>
      <c r="X32" s="12"/>
      <c r="Y32" s="12"/>
      <c r="Z32" s="12"/>
      <c r="AA32" s="37">
        <v>2.18</v>
      </c>
      <c r="AB32" s="37">
        <v>2.71</v>
      </c>
      <c r="AC32" s="37">
        <v>1.7</v>
      </c>
      <c r="AD32" s="37">
        <v>1.64</v>
      </c>
      <c r="AE32" s="37">
        <v>2.51</v>
      </c>
      <c r="AF32" s="37">
        <v>2.1</v>
      </c>
      <c r="AG32" s="21"/>
      <c r="AH32" s="37">
        <v>2.14</v>
      </c>
      <c r="AI32" s="20" t="s">
        <v>65</v>
      </c>
      <c r="AJ32" s="12"/>
      <c r="AK32" s="12"/>
      <c r="AL32" s="44">
        <v>0.353</v>
      </c>
      <c r="AM32" s="37">
        <v>0.38</v>
      </c>
      <c r="AN32" s="21"/>
      <c r="AO32" s="21"/>
      <c r="AP32" s="21"/>
      <c r="AQ32" s="21"/>
      <c r="AR32" s="21"/>
      <c r="AS32" s="37">
        <v>1.4</v>
      </c>
      <c r="AT32" s="37">
        <v>0.3175</v>
      </c>
      <c r="AU32" s="37">
        <v>1.45</v>
      </c>
      <c r="AV32" s="37">
        <v>0.5388</v>
      </c>
      <c r="AW32" s="37">
        <v>3.0</v>
      </c>
      <c r="AX32" s="37">
        <v>0.2172</v>
      </c>
      <c r="AY32" s="37">
        <v>3.15</v>
      </c>
      <c r="AZ32" s="37">
        <v>0.2361</v>
      </c>
      <c r="BA32" s="37">
        <v>1.55</v>
      </c>
      <c r="BB32" s="37">
        <v>0.2614</v>
      </c>
      <c r="BC32" s="37">
        <v>2.75</v>
      </c>
      <c r="BD32" s="37">
        <v>0.2106</v>
      </c>
      <c r="BE32" s="21"/>
      <c r="BF32" s="21"/>
      <c r="BG32" s="21"/>
      <c r="BH32" s="37">
        <v>0.3702</v>
      </c>
      <c r="BI32" s="18" t="s">
        <v>66</v>
      </c>
      <c r="BJ32" s="22"/>
      <c r="BK32" s="22">
        <v>0.3702</v>
      </c>
      <c r="BL32" s="22" t="s">
        <v>66</v>
      </c>
    </row>
    <row r="33" ht="17.25" customHeight="1">
      <c r="A33" s="18" t="s">
        <v>63</v>
      </c>
      <c r="B33" s="18" t="s">
        <v>61</v>
      </c>
      <c r="C33" s="37">
        <v>2378.0</v>
      </c>
      <c r="D33" s="12"/>
      <c r="E33" s="3"/>
      <c r="F33" s="4"/>
      <c r="G33" s="39">
        <v>23.7</v>
      </c>
      <c r="H33" s="39">
        <v>21.6</v>
      </c>
      <c r="I33" s="39">
        <v>21.5</v>
      </c>
      <c r="J33" s="2"/>
      <c r="K33" s="50"/>
      <c r="L33" s="6"/>
      <c r="M33" s="4"/>
      <c r="N33" s="46"/>
      <c r="O33" s="46"/>
      <c r="P33" s="2"/>
      <c r="Q33" s="2"/>
      <c r="R33" s="44">
        <v>0.0</v>
      </c>
      <c r="S33" s="37">
        <v>6.0</v>
      </c>
      <c r="T33" s="16"/>
      <c r="U33" s="21"/>
      <c r="V33" s="2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42" t="e">
        <v>#DIV/0!</v>
      </c>
      <c r="AI33" s="20" t="s">
        <v>65</v>
      </c>
      <c r="AJ33" s="12"/>
      <c r="AK33" s="12"/>
      <c r="AL33" s="51"/>
      <c r="AM33" s="21"/>
      <c r="AN33" s="21"/>
      <c r="AO33" s="21"/>
      <c r="AP33" s="21"/>
      <c r="AQ33" s="21"/>
      <c r="AR33" s="21"/>
      <c r="AS33" s="37">
        <v>1.85</v>
      </c>
      <c r="AT33" s="37">
        <v>0.1533</v>
      </c>
      <c r="AU33" s="37">
        <v>2.0</v>
      </c>
      <c r="AV33" s="37">
        <v>0.1785</v>
      </c>
      <c r="AW33" s="37">
        <v>1.8</v>
      </c>
      <c r="AX33" s="37">
        <v>0.1671</v>
      </c>
      <c r="AY33" s="37">
        <v>1.5</v>
      </c>
      <c r="AZ33" s="37">
        <v>0.169</v>
      </c>
      <c r="BA33" s="21"/>
      <c r="BB33" s="21"/>
      <c r="BC33" s="21"/>
      <c r="BD33" s="21"/>
      <c r="BE33" s="21"/>
      <c r="BF33" s="21"/>
      <c r="BG33" s="21"/>
      <c r="BH33" s="37">
        <v>0.8256</v>
      </c>
      <c r="BI33" s="21"/>
      <c r="BJ33" s="22"/>
      <c r="BK33" s="22">
        <v>0.8256</v>
      </c>
      <c r="BL33" s="22"/>
    </row>
    <row r="34" ht="17.25" customHeight="1">
      <c r="A34" s="18" t="s">
        <v>63</v>
      </c>
      <c r="B34" s="18" t="s">
        <v>61</v>
      </c>
      <c r="C34" s="37">
        <v>2379.0</v>
      </c>
      <c r="D34" s="12"/>
      <c r="E34" s="3"/>
      <c r="F34" s="4"/>
      <c r="G34" s="39">
        <v>33.5</v>
      </c>
      <c r="H34" s="39">
        <v>27.3</v>
      </c>
      <c r="I34" s="39">
        <v>18.9</v>
      </c>
      <c r="J34" s="2"/>
      <c r="K34" s="50"/>
      <c r="L34" s="6"/>
      <c r="M34" s="4"/>
      <c r="N34" s="46"/>
      <c r="O34" s="46"/>
      <c r="P34" s="2"/>
      <c r="Q34" s="2"/>
      <c r="R34" s="44">
        <v>0.0</v>
      </c>
      <c r="S34" s="37">
        <v>7.0</v>
      </c>
      <c r="T34" s="16"/>
      <c r="U34" s="21"/>
      <c r="V34" s="2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42" t="e">
        <v>#DIV/0!</v>
      </c>
      <c r="AI34" s="20" t="s">
        <v>65</v>
      </c>
      <c r="AJ34" s="12"/>
      <c r="AK34" s="12"/>
      <c r="AL34" s="5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</row>
    <row r="35" ht="17.25" customHeight="1">
      <c r="A35" s="18" t="s">
        <v>63</v>
      </c>
      <c r="B35" s="18" t="s">
        <v>56</v>
      </c>
      <c r="C35" s="37">
        <v>2380.0</v>
      </c>
      <c r="D35" s="12"/>
      <c r="E35" s="3"/>
      <c r="F35" s="4"/>
      <c r="G35" s="39">
        <v>65.4</v>
      </c>
      <c r="H35" s="39">
        <v>50.0</v>
      </c>
      <c r="I35" s="39">
        <v>0.0</v>
      </c>
      <c r="J35" s="2"/>
      <c r="K35" s="50"/>
      <c r="L35" s="6"/>
      <c r="M35" s="4"/>
      <c r="N35" s="46"/>
      <c r="O35" s="46"/>
      <c r="P35" s="2"/>
      <c r="Q35" s="2"/>
      <c r="R35" s="15"/>
      <c r="S35" s="16"/>
      <c r="T35" s="16"/>
      <c r="U35" s="12"/>
      <c r="V35" s="12"/>
      <c r="W35" s="12"/>
      <c r="X35" s="12"/>
      <c r="Y35" s="12"/>
      <c r="Z35" s="12"/>
      <c r="AA35" s="37">
        <v>1.66</v>
      </c>
      <c r="AB35" s="37">
        <v>1.65</v>
      </c>
      <c r="AC35" s="37">
        <v>1.88</v>
      </c>
      <c r="AD35" s="37">
        <v>2.27</v>
      </c>
      <c r="AE35" s="21"/>
      <c r="AF35" s="21"/>
      <c r="AG35" s="21"/>
      <c r="AH35" s="37">
        <v>1.865</v>
      </c>
      <c r="AI35" s="17"/>
      <c r="AJ35" s="12"/>
      <c r="AK35" s="12"/>
      <c r="AL35" s="44">
        <v>0.549</v>
      </c>
      <c r="AM35" s="37">
        <v>0.549</v>
      </c>
      <c r="AN35" s="37">
        <v>0.49</v>
      </c>
      <c r="AO35" s="37">
        <v>1.031</v>
      </c>
      <c r="AP35" s="37">
        <v>1.07</v>
      </c>
      <c r="AQ35" s="21"/>
      <c r="AR35" s="21"/>
      <c r="AS35" s="37">
        <v>2.37</v>
      </c>
      <c r="AT35" s="37">
        <v>0.216</v>
      </c>
      <c r="AU35" s="37">
        <v>2.94</v>
      </c>
      <c r="AV35" s="37">
        <v>0.3065</v>
      </c>
      <c r="AW35" s="37">
        <v>2.87</v>
      </c>
      <c r="AX35" s="37">
        <v>0.1413</v>
      </c>
      <c r="AY35" s="37">
        <v>3.139</v>
      </c>
      <c r="AZ35" s="37">
        <v>0.2116</v>
      </c>
      <c r="BA35" s="21"/>
      <c r="BB35" s="21"/>
      <c r="BC35" s="21"/>
      <c r="BD35" s="12"/>
      <c r="BE35" s="12"/>
      <c r="BF35" s="12"/>
      <c r="BG35" s="12"/>
      <c r="BH35" s="37">
        <v>1.2255</v>
      </c>
      <c r="BI35" s="12"/>
      <c r="BJ35" s="14"/>
      <c r="BK35" s="22">
        <v>1.2255</v>
      </c>
      <c r="BL35" s="14"/>
    </row>
    <row r="36" ht="17.25" customHeight="1">
      <c r="A36" s="18" t="s">
        <v>67</v>
      </c>
      <c r="B36" s="18" t="s">
        <v>61</v>
      </c>
      <c r="C36" s="37">
        <v>2337.0</v>
      </c>
      <c r="D36" s="18" t="s">
        <v>60</v>
      </c>
      <c r="E36" s="49">
        <v>10.0</v>
      </c>
      <c r="F36" s="38">
        <v>3.048</v>
      </c>
      <c r="G36" s="39">
        <v>26.3</v>
      </c>
      <c r="H36" s="39">
        <v>0.0</v>
      </c>
      <c r="I36" s="39">
        <v>0.0</v>
      </c>
      <c r="J36" s="2"/>
      <c r="K36" s="39">
        <v>1418.63</v>
      </c>
      <c r="L36" s="38" t="s">
        <v>58</v>
      </c>
      <c r="M36" s="38">
        <v>13.134</v>
      </c>
      <c r="N36" s="46"/>
      <c r="O36" s="46"/>
      <c r="P36" s="2"/>
      <c r="Q36" s="41" t="s">
        <v>68</v>
      </c>
      <c r="R36" s="15"/>
      <c r="S36" s="16"/>
      <c r="T36" s="1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42" t="e">
        <v>#DIV/0!</v>
      </c>
      <c r="AI36" s="17"/>
      <c r="AJ36" s="12"/>
      <c r="AK36" s="12"/>
      <c r="AL36" s="13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4"/>
      <c r="BK36" s="14"/>
      <c r="BL36" s="14"/>
    </row>
    <row r="37" ht="17.25" customHeight="1">
      <c r="A37" s="18" t="s">
        <v>67</v>
      </c>
      <c r="B37" s="18" t="s">
        <v>61</v>
      </c>
      <c r="C37" s="37">
        <v>2338.0</v>
      </c>
      <c r="D37" s="18" t="s">
        <v>57</v>
      </c>
      <c r="E37" s="49">
        <v>11.3</v>
      </c>
      <c r="F37" s="38">
        <v>3.444</v>
      </c>
      <c r="G37" s="39">
        <v>34.6</v>
      </c>
      <c r="H37" s="39">
        <v>0.0</v>
      </c>
      <c r="I37" s="39">
        <v>0.0</v>
      </c>
      <c r="J37" s="2"/>
      <c r="K37" s="39">
        <v>1352.65</v>
      </c>
      <c r="L37" s="38" t="s">
        <v>58</v>
      </c>
      <c r="M37" s="38">
        <v>12.905</v>
      </c>
      <c r="N37" s="46"/>
      <c r="O37" s="46"/>
      <c r="P37" s="2"/>
      <c r="Q37" s="41" t="s">
        <v>68</v>
      </c>
      <c r="R37" s="15"/>
      <c r="S37" s="16"/>
      <c r="T37" s="1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42" t="e">
        <v>#DIV/0!</v>
      </c>
      <c r="AI37" s="17"/>
      <c r="AJ37" s="12"/>
      <c r="AK37" s="12"/>
      <c r="AL37" s="13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4"/>
      <c r="BK37" s="14"/>
      <c r="BL37" s="14"/>
    </row>
    <row r="38" ht="17.25" customHeight="1">
      <c r="A38" s="18" t="s">
        <v>67</v>
      </c>
      <c r="B38" s="18" t="s">
        <v>61</v>
      </c>
      <c r="C38" s="37">
        <v>2339.0</v>
      </c>
      <c r="D38" s="18" t="s">
        <v>60</v>
      </c>
      <c r="E38" s="49">
        <v>15.5</v>
      </c>
      <c r="F38" s="38">
        <v>4.724</v>
      </c>
      <c r="G38" s="39">
        <v>24.7</v>
      </c>
      <c r="H38" s="39">
        <v>0.0</v>
      </c>
      <c r="I38" s="39">
        <v>0.0</v>
      </c>
      <c r="J38" s="2"/>
      <c r="K38" s="39">
        <v>3297.92</v>
      </c>
      <c r="L38" s="38" t="s">
        <v>58</v>
      </c>
      <c r="M38" s="38">
        <v>17.919</v>
      </c>
      <c r="N38" s="40">
        <v>3.1</v>
      </c>
      <c r="O38" s="40">
        <v>3.15</v>
      </c>
      <c r="P38" s="2"/>
      <c r="Q38" s="41" t="s">
        <v>68</v>
      </c>
      <c r="R38" s="15"/>
      <c r="S38" s="16"/>
      <c r="T38" s="16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42" t="e">
        <v>#DIV/0!</v>
      </c>
      <c r="AI38" s="17"/>
      <c r="AJ38" s="12"/>
      <c r="AK38" s="12"/>
      <c r="AL38" s="13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4"/>
      <c r="BK38" s="14"/>
      <c r="BL38" s="14"/>
    </row>
    <row r="39" ht="17.25" customHeight="1">
      <c r="A39" s="18" t="s">
        <v>67</v>
      </c>
      <c r="B39" s="18" t="s">
        <v>61</v>
      </c>
      <c r="C39" s="37">
        <v>2340.0</v>
      </c>
      <c r="D39" s="18" t="s">
        <v>60</v>
      </c>
      <c r="E39" s="49">
        <v>18.0</v>
      </c>
      <c r="F39" s="38">
        <v>5.486</v>
      </c>
      <c r="G39" s="39">
        <v>32.3</v>
      </c>
      <c r="H39" s="39">
        <v>0.0</v>
      </c>
      <c r="I39" s="39">
        <v>0.0</v>
      </c>
      <c r="J39" s="2"/>
      <c r="K39" s="39">
        <v>411.87</v>
      </c>
      <c r="L39" s="38" t="s">
        <v>58</v>
      </c>
      <c r="M39" s="38">
        <v>10.32</v>
      </c>
      <c r="N39" s="46"/>
      <c r="O39" s="46"/>
      <c r="P39" s="47"/>
      <c r="Q39" s="41" t="s">
        <v>68</v>
      </c>
      <c r="R39" s="15"/>
      <c r="S39" s="16"/>
      <c r="T39" s="1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42" t="e">
        <v>#DIV/0!</v>
      </c>
      <c r="AI39" s="17"/>
      <c r="AJ39" s="12"/>
      <c r="AK39" s="12"/>
      <c r="AL39" s="13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4"/>
      <c r="BK39" s="14"/>
      <c r="BL39" s="14"/>
    </row>
    <row r="40" ht="17.25" customHeight="1">
      <c r="A40" s="18" t="s">
        <v>67</v>
      </c>
      <c r="B40" s="18" t="s">
        <v>61</v>
      </c>
      <c r="C40" s="37">
        <v>2341.0</v>
      </c>
      <c r="D40" s="18" t="s">
        <v>57</v>
      </c>
      <c r="E40" s="49">
        <v>19.0</v>
      </c>
      <c r="F40" s="38">
        <v>5.791</v>
      </c>
      <c r="G40" s="39">
        <v>41.8</v>
      </c>
      <c r="H40" s="39">
        <v>0.0</v>
      </c>
      <c r="I40" s="39">
        <v>0.0</v>
      </c>
      <c r="J40" s="2"/>
      <c r="K40" s="39">
        <v>940.25</v>
      </c>
      <c r="L40" s="38" t="s">
        <v>58</v>
      </c>
      <c r="M40" s="38">
        <v>13.324</v>
      </c>
      <c r="N40" s="46"/>
      <c r="O40" s="46"/>
      <c r="P40" s="2"/>
      <c r="Q40" s="41" t="s">
        <v>68</v>
      </c>
      <c r="R40" s="15"/>
      <c r="S40" s="16"/>
      <c r="T40" s="16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42" t="e">
        <v>#DIV/0!</v>
      </c>
      <c r="AI40" s="17"/>
      <c r="AJ40" s="12"/>
      <c r="AK40" s="12"/>
      <c r="AL40" s="13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4"/>
      <c r="BK40" s="14"/>
      <c r="BL40" s="14"/>
    </row>
    <row r="41" ht="17.25" customHeight="1">
      <c r="A41" s="18" t="s">
        <v>67</v>
      </c>
      <c r="B41" s="18" t="s">
        <v>61</v>
      </c>
      <c r="C41" s="37">
        <v>2342.0</v>
      </c>
      <c r="D41" s="18" t="s">
        <v>60</v>
      </c>
      <c r="E41" s="49">
        <v>24.5</v>
      </c>
      <c r="F41" s="38">
        <v>7.467</v>
      </c>
      <c r="G41" s="39">
        <v>22.9</v>
      </c>
      <c r="H41" s="39">
        <v>28.6</v>
      </c>
      <c r="I41" s="39">
        <v>0.0</v>
      </c>
      <c r="J41" s="2"/>
      <c r="K41" s="39">
        <v>1189.82</v>
      </c>
      <c r="L41" s="38">
        <v>50.5</v>
      </c>
      <c r="M41" s="38">
        <v>10.56</v>
      </c>
      <c r="N41" s="46"/>
      <c r="O41" s="46"/>
      <c r="P41" s="47"/>
      <c r="Q41" s="41" t="s">
        <v>68</v>
      </c>
      <c r="R41" s="15"/>
      <c r="S41" s="16"/>
      <c r="T41" s="16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42" t="e">
        <v>#DIV/0!</v>
      </c>
      <c r="AI41" s="17"/>
      <c r="AJ41" s="12"/>
      <c r="AK41" s="12"/>
      <c r="AL41" s="13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4"/>
      <c r="BK41" s="14"/>
      <c r="BL41" s="14"/>
    </row>
    <row r="42" ht="17.25" customHeight="1">
      <c r="A42" s="18" t="s">
        <v>67</v>
      </c>
      <c r="B42" s="18" t="s">
        <v>61</v>
      </c>
      <c r="C42" s="37">
        <v>2343.0</v>
      </c>
      <c r="D42" s="18" t="s">
        <v>57</v>
      </c>
      <c r="E42" s="49">
        <v>64.0</v>
      </c>
      <c r="F42" s="38">
        <v>19.506</v>
      </c>
      <c r="G42" s="39">
        <v>65.7</v>
      </c>
      <c r="H42" s="39">
        <v>19.0</v>
      </c>
      <c r="I42" s="39">
        <v>0.0</v>
      </c>
      <c r="J42" s="2"/>
      <c r="K42" s="39">
        <v>985.68</v>
      </c>
      <c r="L42" s="38">
        <v>39.8</v>
      </c>
      <c r="M42" s="38">
        <v>13.11</v>
      </c>
      <c r="N42" s="40">
        <v>3.16</v>
      </c>
      <c r="O42" s="40">
        <v>3.2</v>
      </c>
      <c r="P42" s="2"/>
      <c r="Q42" s="41" t="s">
        <v>68</v>
      </c>
      <c r="R42" s="44">
        <v>1.0</v>
      </c>
      <c r="S42" s="37">
        <v>2.0</v>
      </c>
      <c r="T42" s="37">
        <v>1.2</v>
      </c>
      <c r="U42" s="37">
        <v>1.1</v>
      </c>
      <c r="V42" s="37">
        <v>1.1</v>
      </c>
      <c r="W42" s="21"/>
      <c r="X42" s="21"/>
      <c r="Y42" s="21"/>
      <c r="Z42" s="12"/>
      <c r="AA42" s="12"/>
      <c r="AB42" s="12"/>
      <c r="AC42" s="12"/>
      <c r="AD42" s="12"/>
      <c r="AE42" s="12"/>
      <c r="AF42" s="12"/>
      <c r="AG42" s="12"/>
      <c r="AH42" s="42" t="e">
        <v>#DIV/0!</v>
      </c>
      <c r="AI42" s="20" t="s">
        <v>69</v>
      </c>
      <c r="AJ42" s="12"/>
      <c r="AK42" s="12"/>
      <c r="AL42" s="44">
        <v>1.16</v>
      </c>
      <c r="AM42" s="37">
        <v>1.33</v>
      </c>
      <c r="AN42" s="37">
        <v>1.228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</row>
    <row r="43" ht="17.25" customHeight="1">
      <c r="A43" s="52" t="s">
        <v>67</v>
      </c>
      <c r="B43" s="52" t="s">
        <v>61</v>
      </c>
      <c r="C43" s="52" t="s">
        <v>70</v>
      </c>
      <c r="D43" s="52" t="s">
        <v>57</v>
      </c>
      <c r="E43" s="53">
        <v>65.0</v>
      </c>
      <c r="F43" s="54">
        <v>19.811</v>
      </c>
      <c r="G43" s="55">
        <v>64.8</v>
      </c>
      <c r="H43" s="55">
        <v>0.0</v>
      </c>
      <c r="I43" s="55">
        <v>0.0</v>
      </c>
      <c r="J43" s="2"/>
      <c r="K43" s="55">
        <v>876.16</v>
      </c>
      <c r="L43" s="54">
        <v>34.6</v>
      </c>
      <c r="M43" s="54">
        <v>9.82</v>
      </c>
      <c r="N43" s="56"/>
      <c r="O43" s="56"/>
      <c r="P43" s="57"/>
      <c r="Q43" s="52" t="s">
        <v>68</v>
      </c>
      <c r="R43" s="13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42" t="e">
        <v>#DIV/0!</v>
      </c>
      <c r="AI43" s="17"/>
      <c r="AJ43" s="12"/>
      <c r="AK43" s="12"/>
      <c r="AL43" s="13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4"/>
      <c r="BK43" s="14"/>
      <c r="BL43" s="14"/>
    </row>
    <row r="44" ht="17.25" customHeight="1">
      <c r="A44" s="18" t="s">
        <v>67</v>
      </c>
      <c r="B44" s="18" t="s">
        <v>61</v>
      </c>
      <c r="C44" s="37">
        <v>2344.0</v>
      </c>
      <c r="D44" s="18" t="s">
        <v>57</v>
      </c>
      <c r="E44" s="49">
        <v>76.0</v>
      </c>
      <c r="F44" s="38">
        <v>23.164</v>
      </c>
      <c r="G44" s="39">
        <v>52.5</v>
      </c>
      <c r="H44" s="39">
        <v>0.0</v>
      </c>
      <c r="I44" s="39">
        <v>0.0</v>
      </c>
      <c r="J44" s="2"/>
      <c r="K44" s="39">
        <v>467.59</v>
      </c>
      <c r="L44" s="38">
        <v>27.5</v>
      </c>
      <c r="M44" s="38">
        <v>8.54</v>
      </c>
      <c r="N44" s="46"/>
      <c r="O44" s="46"/>
      <c r="P44" s="2"/>
      <c r="Q44" s="41" t="s">
        <v>68</v>
      </c>
      <c r="R44" s="15"/>
      <c r="S44" s="16"/>
      <c r="T44" s="37">
        <v>1.47</v>
      </c>
      <c r="U44" s="37">
        <v>1.65</v>
      </c>
      <c r="V44" s="37">
        <v>1.47</v>
      </c>
      <c r="W44" s="37">
        <v>1.14</v>
      </c>
      <c r="X44" s="37">
        <v>1.34</v>
      </c>
      <c r="Y44" s="21"/>
      <c r="Z44" s="21"/>
      <c r="AA44" s="21"/>
      <c r="AB44" s="12"/>
      <c r="AC44" s="12"/>
      <c r="AD44" s="12"/>
      <c r="AE44" s="12"/>
      <c r="AF44" s="12"/>
      <c r="AG44" s="12"/>
      <c r="AH44" s="42" t="e">
        <v>#DIV/0!</v>
      </c>
      <c r="AI44" s="17"/>
      <c r="AJ44" s="12"/>
      <c r="AK44" s="12"/>
      <c r="AL44" s="13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4"/>
      <c r="BK44" s="14"/>
      <c r="BL44" s="14"/>
    </row>
    <row r="45" ht="17.25" customHeight="1">
      <c r="A45" s="52" t="s">
        <v>67</v>
      </c>
      <c r="B45" s="52" t="s">
        <v>56</v>
      </c>
      <c r="C45" s="52" t="s">
        <v>70</v>
      </c>
      <c r="D45" s="52" t="s">
        <v>57</v>
      </c>
      <c r="E45" s="53">
        <v>78.0</v>
      </c>
      <c r="F45" s="54">
        <v>23.773</v>
      </c>
      <c r="G45" s="55">
        <v>31.4</v>
      </c>
      <c r="H45" s="55">
        <v>0.0</v>
      </c>
      <c r="I45" s="55">
        <v>0.0</v>
      </c>
      <c r="J45" s="2"/>
      <c r="K45" s="55">
        <v>2164.75</v>
      </c>
      <c r="L45" s="54">
        <v>55.6</v>
      </c>
      <c r="M45" s="54">
        <v>12.0</v>
      </c>
      <c r="N45" s="56"/>
      <c r="O45" s="56"/>
      <c r="P45" s="57"/>
      <c r="Q45" s="52" t="s">
        <v>68</v>
      </c>
      <c r="R45" s="13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42" t="e">
        <v>#DIV/0!</v>
      </c>
      <c r="AI45" s="17"/>
      <c r="AJ45" s="12"/>
      <c r="AK45" s="12"/>
      <c r="AL45" s="13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4"/>
      <c r="BK45" s="14"/>
      <c r="BL45" s="14"/>
    </row>
    <row r="46" ht="17.25" customHeight="1">
      <c r="A46" s="18" t="s">
        <v>67</v>
      </c>
      <c r="B46" s="18" t="s">
        <v>56</v>
      </c>
      <c r="C46" s="43">
        <v>2345.0</v>
      </c>
      <c r="D46" s="18" t="s">
        <v>60</v>
      </c>
      <c r="E46" s="49">
        <v>85.0</v>
      </c>
      <c r="F46" s="38">
        <v>25.907</v>
      </c>
      <c r="G46" s="39">
        <v>57.6</v>
      </c>
      <c r="H46" s="39">
        <v>58.0</v>
      </c>
      <c r="I46" s="39">
        <v>0.0</v>
      </c>
      <c r="J46" s="2"/>
      <c r="K46" s="39">
        <v>3390.16</v>
      </c>
      <c r="L46" s="38">
        <v>70.7</v>
      </c>
      <c r="M46" s="38">
        <v>18.24</v>
      </c>
      <c r="N46" s="46"/>
      <c r="O46" s="46"/>
      <c r="P46" s="47"/>
      <c r="Q46" s="41" t="s">
        <v>68</v>
      </c>
      <c r="R46" s="15"/>
      <c r="S46" s="16"/>
      <c r="T46" s="37">
        <v>0.564</v>
      </c>
      <c r="U46" s="37">
        <v>0.62</v>
      </c>
      <c r="V46" s="37">
        <v>0.45</v>
      </c>
      <c r="W46" s="37">
        <v>0.5</v>
      </c>
      <c r="X46" s="21"/>
      <c r="Y46" s="21"/>
      <c r="Z46" s="21"/>
      <c r="AA46" s="37">
        <v>1.88</v>
      </c>
      <c r="AB46" s="37">
        <v>1.83</v>
      </c>
      <c r="AC46" s="37">
        <v>1.04</v>
      </c>
      <c r="AD46" s="37">
        <v>1.77</v>
      </c>
      <c r="AE46" s="21"/>
      <c r="AF46" s="21"/>
      <c r="AG46" s="21"/>
      <c r="AH46" s="37">
        <v>1.63</v>
      </c>
      <c r="AI46" s="17"/>
      <c r="AJ46" s="12"/>
      <c r="AK46" s="12"/>
      <c r="AL46" s="44">
        <v>0.255</v>
      </c>
      <c r="AM46" s="37">
        <v>0.407</v>
      </c>
      <c r="AN46" s="37">
        <v>0.243</v>
      </c>
      <c r="AO46" s="21"/>
      <c r="AP46" s="21"/>
      <c r="AQ46" s="21"/>
      <c r="AR46" s="12"/>
      <c r="AS46" s="37">
        <v>1.053</v>
      </c>
      <c r="AT46" s="37">
        <v>0.27493</v>
      </c>
      <c r="AU46" s="37">
        <v>1.618</v>
      </c>
      <c r="AV46" s="37">
        <v>0.2851</v>
      </c>
      <c r="AW46" s="37">
        <v>1.4</v>
      </c>
      <c r="AX46" s="37">
        <v>0.3105</v>
      </c>
      <c r="AY46" s="37">
        <v>1.02</v>
      </c>
      <c r="AZ46" s="37">
        <v>0.2338</v>
      </c>
      <c r="BA46" s="37">
        <v>1.493</v>
      </c>
      <c r="BB46" s="37">
        <v>0.1984</v>
      </c>
      <c r="BC46" s="37">
        <v>1.53</v>
      </c>
      <c r="BD46" s="37">
        <v>0.1806</v>
      </c>
      <c r="BE46" s="21"/>
      <c r="BF46" s="21"/>
      <c r="BG46" s="21"/>
      <c r="BH46" s="12"/>
      <c r="BI46" s="12"/>
      <c r="BJ46" s="14"/>
      <c r="BK46" s="14"/>
      <c r="BL46" s="14"/>
    </row>
    <row r="47" ht="17.25" customHeight="1">
      <c r="A47" s="18" t="s">
        <v>67</v>
      </c>
      <c r="B47" s="18" t="s">
        <v>61</v>
      </c>
      <c r="C47" s="37">
        <v>2346.0</v>
      </c>
      <c r="D47" s="18" t="s">
        <v>57</v>
      </c>
      <c r="E47" s="49">
        <v>115.0</v>
      </c>
      <c r="F47" s="38">
        <v>35.05</v>
      </c>
      <c r="G47" s="39">
        <v>24.4</v>
      </c>
      <c r="H47" s="39">
        <v>0.0</v>
      </c>
      <c r="I47" s="39">
        <v>0.0</v>
      </c>
      <c r="J47" s="2"/>
      <c r="K47" s="39">
        <v>1372.28</v>
      </c>
      <c r="L47" s="38">
        <v>45.0</v>
      </c>
      <c r="M47" s="38">
        <v>14.56</v>
      </c>
      <c r="N47" s="40">
        <v>3.8</v>
      </c>
      <c r="O47" s="40">
        <v>4.25</v>
      </c>
      <c r="P47" s="40">
        <v>3.75</v>
      </c>
      <c r="Q47" s="41" t="s">
        <v>68</v>
      </c>
      <c r="R47" s="44">
        <v>3.0</v>
      </c>
      <c r="S47" s="37">
        <v>0.0</v>
      </c>
      <c r="T47" s="37">
        <v>1.13</v>
      </c>
      <c r="U47" s="37">
        <v>0.935</v>
      </c>
      <c r="V47" s="37">
        <v>1.03</v>
      </c>
      <c r="W47" s="37">
        <v>0.94</v>
      </c>
      <c r="X47" s="12"/>
      <c r="Y47" s="21"/>
      <c r="Z47" s="21"/>
      <c r="AA47" s="12"/>
      <c r="AB47" s="12"/>
      <c r="AC47" s="12"/>
      <c r="AD47" s="12"/>
      <c r="AE47" s="12"/>
      <c r="AF47" s="12"/>
      <c r="AG47" s="12"/>
      <c r="AH47" s="42" t="e">
        <v>#DIV/0!</v>
      </c>
      <c r="AI47" s="20" t="s">
        <v>71</v>
      </c>
      <c r="AJ47" s="12"/>
      <c r="AK47" s="12"/>
      <c r="AL47" s="44">
        <v>1.16</v>
      </c>
      <c r="AM47" s="37">
        <v>1.332</v>
      </c>
      <c r="AN47" s="37">
        <v>1.18</v>
      </c>
      <c r="AO47" s="21"/>
      <c r="AP47" s="21"/>
      <c r="AQ47" s="21"/>
      <c r="AR47" s="21"/>
      <c r="AS47" s="37">
        <v>2.23</v>
      </c>
      <c r="AT47" s="37">
        <v>0.0729</v>
      </c>
      <c r="AU47" s="37">
        <v>2.26</v>
      </c>
      <c r="AV47" s="37">
        <v>0.1438</v>
      </c>
      <c r="AW47" s="37">
        <v>2.409</v>
      </c>
      <c r="AX47" s="37">
        <v>0.0781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37">
        <v>0.7244</v>
      </c>
      <c r="BI47" s="21"/>
      <c r="BJ47" s="22"/>
      <c r="BK47" s="22">
        <v>0.7244</v>
      </c>
      <c r="BL47" s="22"/>
    </row>
    <row r="48" ht="17.25" customHeight="1">
      <c r="A48" s="18" t="s">
        <v>67</v>
      </c>
      <c r="B48" s="18" t="s">
        <v>61</v>
      </c>
      <c r="C48" s="37">
        <v>2347.0</v>
      </c>
      <c r="D48" s="18" t="s">
        <v>60</v>
      </c>
      <c r="E48" s="49">
        <v>126.0</v>
      </c>
      <c r="F48" s="38">
        <v>38.403</v>
      </c>
      <c r="G48" s="39">
        <v>33.4</v>
      </c>
      <c r="H48" s="39">
        <v>0.0</v>
      </c>
      <c r="I48" s="39">
        <v>0.0</v>
      </c>
      <c r="J48" s="2"/>
      <c r="K48" s="39">
        <v>819.4</v>
      </c>
      <c r="L48" s="38">
        <v>31.2</v>
      </c>
      <c r="M48" s="38">
        <v>12.47</v>
      </c>
      <c r="N48" s="40">
        <v>3.3</v>
      </c>
      <c r="O48" s="40">
        <v>3.2</v>
      </c>
      <c r="P48" s="2"/>
      <c r="Q48" s="41" t="s">
        <v>68</v>
      </c>
      <c r="R48" s="44">
        <v>2.0</v>
      </c>
      <c r="S48" s="37">
        <v>0.0</v>
      </c>
      <c r="T48" s="37">
        <v>1.46</v>
      </c>
      <c r="U48" s="37">
        <v>1.395</v>
      </c>
      <c r="V48" s="37">
        <v>3.1</v>
      </c>
      <c r="W48" s="37">
        <v>1.465</v>
      </c>
      <c r="X48" s="37">
        <v>1.51</v>
      </c>
      <c r="Y48" s="21"/>
      <c r="Z48" s="12"/>
      <c r="AA48" s="12"/>
      <c r="AB48" s="12"/>
      <c r="AC48" s="12"/>
      <c r="AD48" s="12"/>
      <c r="AE48" s="12"/>
      <c r="AF48" s="12"/>
      <c r="AG48" s="12"/>
      <c r="AH48" s="42" t="e">
        <v>#DIV/0!</v>
      </c>
      <c r="AI48" s="20" t="s">
        <v>72</v>
      </c>
      <c r="AJ48" s="12"/>
      <c r="AK48" s="12"/>
      <c r="AL48" s="51"/>
      <c r="AM48" s="21"/>
      <c r="AN48" s="21"/>
      <c r="AO48" s="21"/>
      <c r="AP48" s="21"/>
      <c r="AQ48" s="21"/>
      <c r="AR48" s="21"/>
      <c r="AS48" s="37">
        <v>3.18</v>
      </c>
      <c r="AT48" s="37">
        <v>0.2693</v>
      </c>
      <c r="AU48" s="37">
        <v>1.984</v>
      </c>
      <c r="AV48" s="37">
        <v>0.235</v>
      </c>
      <c r="AW48" s="37">
        <v>1.941</v>
      </c>
      <c r="AX48" s="37">
        <v>0.183</v>
      </c>
      <c r="AY48" s="37">
        <v>1.922</v>
      </c>
      <c r="AZ48" s="37">
        <v>0.1912</v>
      </c>
      <c r="BA48" s="21"/>
      <c r="BB48" s="21"/>
      <c r="BC48" s="21"/>
      <c r="BD48" s="21"/>
      <c r="BE48" s="21"/>
      <c r="BF48" s="21"/>
      <c r="BG48" s="21"/>
      <c r="BH48" s="37">
        <v>0.5719</v>
      </c>
      <c r="BI48" s="21"/>
      <c r="BJ48" s="22"/>
      <c r="BK48" s="22">
        <v>0.5719</v>
      </c>
      <c r="BL48" s="22"/>
    </row>
    <row r="49" ht="17.25" customHeight="1">
      <c r="A49" s="18" t="s">
        <v>67</v>
      </c>
      <c r="B49" s="18" t="s">
        <v>61</v>
      </c>
      <c r="C49" s="37">
        <v>2348.0</v>
      </c>
      <c r="D49" s="18" t="s">
        <v>60</v>
      </c>
      <c r="E49" s="49">
        <v>130.3</v>
      </c>
      <c r="F49" s="38">
        <v>39.714</v>
      </c>
      <c r="G49" s="39">
        <v>41.5</v>
      </c>
      <c r="H49" s="39">
        <v>0.0</v>
      </c>
      <c r="I49" s="39">
        <v>0.0</v>
      </c>
      <c r="J49" s="2"/>
      <c r="K49" s="39">
        <v>543.25</v>
      </c>
      <c r="L49" s="38">
        <v>31.6</v>
      </c>
      <c r="M49" s="38">
        <v>11.94</v>
      </c>
      <c r="N49" s="46"/>
      <c r="O49" s="46"/>
      <c r="P49" s="47"/>
      <c r="Q49" s="41" t="s">
        <v>68</v>
      </c>
      <c r="R49" s="44">
        <v>1.0</v>
      </c>
      <c r="S49" s="37">
        <v>0.0</v>
      </c>
      <c r="T49" s="16"/>
      <c r="U49" s="21"/>
      <c r="V49" s="2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42" t="e">
        <v>#DIV/0!</v>
      </c>
      <c r="AI49" s="17"/>
      <c r="AJ49" s="12"/>
      <c r="AK49" s="12"/>
      <c r="AL49" s="44">
        <v>1.97</v>
      </c>
      <c r="AM49" s="37">
        <v>2.36</v>
      </c>
      <c r="AN49" s="37">
        <v>2.18</v>
      </c>
      <c r="AO49" s="37">
        <v>2.302</v>
      </c>
      <c r="AP49" s="21"/>
      <c r="AQ49" s="21"/>
      <c r="AR49" s="21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4"/>
      <c r="BK49" s="14"/>
      <c r="BL49" s="14"/>
    </row>
    <row r="50" ht="17.25" customHeight="1">
      <c r="A50" s="18" t="s">
        <v>67</v>
      </c>
      <c r="B50" s="18" t="s">
        <v>61</v>
      </c>
      <c r="C50" s="37">
        <v>2349.0</v>
      </c>
      <c r="D50" s="18" t="s">
        <v>57</v>
      </c>
      <c r="E50" s="49">
        <v>142.0</v>
      </c>
      <c r="F50" s="38">
        <v>43.279</v>
      </c>
      <c r="G50" s="39">
        <v>29.9</v>
      </c>
      <c r="H50" s="39">
        <v>16.6</v>
      </c>
      <c r="I50" s="39">
        <v>0.0</v>
      </c>
      <c r="J50" s="2"/>
      <c r="K50" s="39">
        <v>479.16</v>
      </c>
      <c r="L50" s="38">
        <v>28.6</v>
      </c>
      <c r="M50" s="38">
        <v>11.64</v>
      </c>
      <c r="N50" s="46"/>
      <c r="O50" s="46"/>
      <c r="P50" s="2"/>
      <c r="Q50" s="41" t="s">
        <v>68</v>
      </c>
      <c r="R50" s="44">
        <v>1.0</v>
      </c>
      <c r="S50" s="37">
        <v>0.0</v>
      </c>
      <c r="T50" s="37">
        <v>1.64</v>
      </c>
      <c r="U50" s="37">
        <v>1.6</v>
      </c>
      <c r="V50" s="37">
        <v>2.2</v>
      </c>
      <c r="W50" s="37">
        <v>1.85</v>
      </c>
      <c r="X50" s="37">
        <v>2.16</v>
      </c>
      <c r="Y50" s="21"/>
      <c r="Z50" s="21"/>
      <c r="AA50" s="21"/>
      <c r="AB50" s="12"/>
      <c r="AC50" s="12"/>
      <c r="AD50" s="12"/>
      <c r="AE50" s="12"/>
      <c r="AF50" s="12"/>
      <c r="AG50" s="12"/>
      <c r="AH50" s="42" t="e">
        <v>#DIV/0!</v>
      </c>
      <c r="AI50" s="20" t="s">
        <v>73</v>
      </c>
      <c r="AJ50" s="12"/>
      <c r="AK50" s="12"/>
      <c r="AL50" s="44">
        <v>2.57</v>
      </c>
      <c r="AM50" s="37">
        <v>2.217</v>
      </c>
      <c r="AN50" s="37">
        <v>2.513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8" t="s">
        <v>74</v>
      </c>
      <c r="BJ50" s="22"/>
      <c r="BK50" s="22"/>
      <c r="BL50" s="22" t="s">
        <v>74</v>
      </c>
    </row>
    <row r="51" ht="17.25" customHeight="1">
      <c r="A51" s="18" t="s">
        <v>67</v>
      </c>
      <c r="B51" s="18" t="s">
        <v>61</v>
      </c>
      <c r="C51" s="37">
        <v>2350.0</v>
      </c>
      <c r="D51" s="18" t="s">
        <v>57</v>
      </c>
      <c r="E51" s="49">
        <v>154.1</v>
      </c>
      <c r="F51" s="38">
        <v>46.967</v>
      </c>
      <c r="G51" s="39">
        <v>42.5</v>
      </c>
      <c r="H51" s="39">
        <v>0.0</v>
      </c>
      <c r="I51" s="39">
        <v>0.0</v>
      </c>
      <c r="J51" s="2"/>
      <c r="K51" s="39">
        <v>1418.63</v>
      </c>
      <c r="L51" s="38" t="s">
        <v>58</v>
      </c>
      <c r="M51" s="58">
        <v>8.72</v>
      </c>
      <c r="N51" s="46"/>
      <c r="O51" s="47"/>
      <c r="P51" s="47"/>
      <c r="Q51" s="41" t="s">
        <v>68</v>
      </c>
      <c r="R51" s="44">
        <v>1.0</v>
      </c>
      <c r="S51" s="37">
        <v>0.0</v>
      </c>
      <c r="T51" s="16"/>
      <c r="U51" s="21"/>
      <c r="V51" s="2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42" t="e">
        <v>#DIV/0!</v>
      </c>
      <c r="AI51" s="17"/>
      <c r="AJ51" s="12"/>
      <c r="AK51" s="12"/>
      <c r="AL51" s="13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K51" s="14"/>
      <c r="BL51" s="14"/>
    </row>
    <row r="52" ht="17.25" customHeight="1">
      <c r="A52" s="18" t="s">
        <v>67</v>
      </c>
      <c r="B52" s="18" t="s">
        <v>61</v>
      </c>
      <c r="C52" s="37">
        <v>2351.0</v>
      </c>
      <c r="D52" s="18" t="s">
        <v>60</v>
      </c>
      <c r="E52" s="49">
        <v>163.0</v>
      </c>
      <c r="F52" s="38">
        <v>49.68</v>
      </c>
      <c r="G52" s="39">
        <v>26.4</v>
      </c>
      <c r="H52" s="39">
        <v>25.5</v>
      </c>
      <c r="I52" s="39">
        <v>0.0</v>
      </c>
      <c r="J52" s="2"/>
      <c r="K52" s="39">
        <v>1058.1</v>
      </c>
      <c r="L52" s="38" t="s">
        <v>58</v>
      </c>
      <c r="M52" s="38">
        <v>11.93</v>
      </c>
      <c r="N52" s="46"/>
      <c r="O52" s="47"/>
      <c r="P52" s="47"/>
      <c r="Q52" s="41" t="s">
        <v>68</v>
      </c>
      <c r="R52" s="44">
        <v>1.0</v>
      </c>
      <c r="S52" s="37">
        <v>0.0</v>
      </c>
      <c r="T52" s="16"/>
      <c r="U52" s="21"/>
      <c r="V52" s="2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42" t="e">
        <v>#DIV/0!</v>
      </c>
      <c r="AI52" s="17"/>
      <c r="AJ52" s="12"/>
      <c r="AK52" s="12"/>
      <c r="AL52" s="13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K52" s="14"/>
      <c r="BL52" s="14"/>
    </row>
    <row r="53" ht="15.75" customHeight="1">
      <c r="A53" s="18" t="s">
        <v>75</v>
      </c>
      <c r="B53" s="18" t="s">
        <v>61</v>
      </c>
      <c r="C53" s="37">
        <v>2375.0</v>
      </c>
      <c r="D53" s="12"/>
      <c r="E53" s="3"/>
      <c r="F53" s="4"/>
      <c r="G53" s="39">
        <v>45.8</v>
      </c>
      <c r="H53" s="39">
        <v>0.0</v>
      </c>
      <c r="I53" s="39">
        <v>0.0</v>
      </c>
      <c r="J53" s="2"/>
      <c r="K53" s="50"/>
      <c r="L53" s="6"/>
      <c r="M53" s="4"/>
      <c r="N53" s="46"/>
      <c r="O53" s="46"/>
      <c r="P53" s="2"/>
      <c r="Q53" s="2"/>
      <c r="R53" s="44">
        <v>1.0</v>
      </c>
      <c r="S53" s="37">
        <v>0.0</v>
      </c>
      <c r="T53" s="16"/>
      <c r="U53" s="21"/>
      <c r="V53" s="2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0" t="s">
        <v>76</v>
      </c>
      <c r="AJ53" s="12"/>
      <c r="AK53" s="12"/>
      <c r="AL53" s="5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</row>
    <row r="54" ht="15.75" customHeight="1">
      <c r="A54" s="18" t="s">
        <v>77</v>
      </c>
      <c r="B54" s="18" t="s">
        <v>61</v>
      </c>
      <c r="C54" s="37">
        <v>2310.0</v>
      </c>
      <c r="D54" s="18" t="s">
        <v>60</v>
      </c>
      <c r="E54" s="49">
        <v>7.4</v>
      </c>
      <c r="F54" s="38">
        <v>2.255</v>
      </c>
      <c r="G54" s="39">
        <v>35.7</v>
      </c>
      <c r="H54" s="39">
        <v>0.0</v>
      </c>
      <c r="I54" s="39">
        <v>0.0</v>
      </c>
      <c r="J54" s="2"/>
      <c r="K54" s="39">
        <v>1000.98</v>
      </c>
      <c r="L54" s="38" t="s">
        <v>58</v>
      </c>
      <c r="M54" s="38">
        <v>10.28</v>
      </c>
      <c r="N54" s="46"/>
      <c r="O54" s="46"/>
      <c r="P54" s="2"/>
      <c r="Q54" s="41" t="s">
        <v>68</v>
      </c>
      <c r="R54" s="15"/>
      <c r="S54" s="16"/>
      <c r="T54" s="16"/>
      <c r="U54" s="2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42" t="e">
        <v>#DIV/0!</v>
      </c>
      <c r="AI54" s="17"/>
      <c r="AJ54" s="12"/>
      <c r="AK54" s="12"/>
      <c r="AL54" s="13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K54" s="14"/>
      <c r="BL54" s="14"/>
    </row>
    <row r="55" ht="17.25" customHeight="1">
      <c r="A55" s="18" t="s">
        <v>77</v>
      </c>
      <c r="B55" s="18" t="s">
        <v>61</v>
      </c>
      <c r="C55" s="37">
        <v>2311.0</v>
      </c>
      <c r="D55" s="18" t="s">
        <v>57</v>
      </c>
      <c r="E55" s="49">
        <v>8.3</v>
      </c>
      <c r="F55" s="38">
        <v>2.53</v>
      </c>
      <c r="G55" s="39">
        <v>17.8</v>
      </c>
      <c r="H55" s="39">
        <v>0.0</v>
      </c>
      <c r="I55" s="39">
        <v>0.0</v>
      </c>
      <c r="J55" s="2"/>
      <c r="K55" s="39">
        <v>248.85</v>
      </c>
      <c r="L55" s="38" t="s">
        <v>58</v>
      </c>
      <c r="M55" s="38">
        <v>3.568</v>
      </c>
      <c r="N55" s="40">
        <v>4.3</v>
      </c>
      <c r="O55" s="40">
        <v>3.8</v>
      </c>
      <c r="P55" s="40">
        <v>4.0</v>
      </c>
      <c r="Q55" s="41" t="s">
        <v>68</v>
      </c>
      <c r="R55" s="15"/>
      <c r="S55" s="16"/>
      <c r="T55" s="16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42" t="e">
        <v>#DIV/0!</v>
      </c>
      <c r="AI55" s="17"/>
      <c r="AJ55" s="12"/>
      <c r="AK55" s="12"/>
      <c r="AL55" s="13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4"/>
      <c r="BK55" s="14"/>
      <c r="BL55" s="14"/>
    </row>
    <row r="56" ht="17.25" customHeight="1">
      <c r="A56" s="18" t="s">
        <v>77</v>
      </c>
      <c r="B56" s="18" t="s">
        <v>61</v>
      </c>
      <c r="C56" s="37">
        <v>2312.0</v>
      </c>
      <c r="D56" s="18" t="s">
        <v>57</v>
      </c>
      <c r="E56" s="49">
        <v>8.5</v>
      </c>
      <c r="F56" s="38">
        <v>2.591</v>
      </c>
      <c r="G56" s="39">
        <v>16.5</v>
      </c>
      <c r="H56" s="39">
        <v>0.0</v>
      </c>
      <c r="I56" s="39">
        <v>0.0</v>
      </c>
      <c r="J56" s="2"/>
      <c r="K56" s="39">
        <v>213.82</v>
      </c>
      <c r="L56" s="38" t="s">
        <v>58</v>
      </c>
      <c r="M56" s="38">
        <v>11.14</v>
      </c>
      <c r="N56" s="46"/>
      <c r="O56" s="46"/>
      <c r="P56" s="2"/>
      <c r="Q56" s="41" t="s">
        <v>68</v>
      </c>
      <c r="R56" s="15"/>
      <c r="S56" s="16"/>
      <c r="T56" s="16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42" t="e">
        <v>#DIV/0!</v>
      </c>
      <c r="AI56" s="17"/>
      <c r="AJ56" s="12"/>
      <c r="AK56" s="12"/>
      <c r="AL56" s="13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4"/>
      <c r="BK56" s="14"/>
      <c r="BL56" s="14"/>
    </row>
    <row r="57" ht="17.25" customHeight="1">
      <c r="A57" s="18" t="s">
        <v>77</v>
      </c>
      <c r="B57" s="18" t="s">
        <v>61</v>
      </c>
      <c r="C57" s="37">
        <v>2313.0</v>
      </c>
      <c r="D57" s="18" t="s">
        <v>60</v>
      </c>
      <c r="E57" s="49">
        <v>10.9</v>
      </c>
      <c r="F57" s="38">
        <v>3.322</v>
      </c>
      <c r="G57" s="39">
        <v>31.5</v>
      </c>
      <c r="H57" s="39">
        <v>0.0</v>
      </c>
      <c r="I57" s="39">
        <v>0.0</v>
      </c>
      <c r="J57" s="2"/>
      <c r="K57" s="39">
        <v>779.31</v>
      </c>
      <c r="L57" s="38" t="s">
        <v>58</v>
      </c>
      <c r="M57" s="38">
        <v>10.6</v>
      </c>
      <c r="N57" s="46"/>
      <c r="O57" s="46"/>
      <c r="P57" s="2"/>
      <c r="Q57" s="41" t="s">
        <v>68</v>
      </c>
      <c r="R57" s="15"/>
      <c r="S57" s="16"/>
      <c r="T57" s="37">
        <v>1.14</v>
      </c>
      <c r="U57" s="37">
        <v>1.285</v>
      </c>
      <c r="V57" s="37">
        <v>1.505</v>
      </c>
      <c r="W57" s="37">
        <v>1.12</v>
      </c>
      <c r="X57" s="12"/>
      <c r="Y57" s="12"/>
      <c r="Z57" s="21"/>
      <c r="AA57" s="12"/>
      <c r="AB57" s="12"/>
      <c r="AC57" s="12"/>
      <c r="AD57" s="12"/>
      <c r="AE57" s="12"/>
      <c r="AF57" s="12"/>
      <c r="AG57" s="12"/>
      <c r="AH57" s="42" t="e">
        <v>#DIV/0!</v>
      </c>
      <c r="AI57" s="17"/>
      <c r="AJ57" s="12"/>
      <c r="AK57" s="12"/>
      <c r="AL57" s="13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4"/>
      <c r="BK57" s="14"/>
      <c r="BL57" s="14"/>
    </row>
    <row r="58" ht="17.25" customHeight="1">
      <c r="A58" s="18" t="s">
        <v>77</v>
      </c>
      <c r="B58" s="18" t="s">
        <v>61</v>
      </c>
      <c r="C58" s="37">
        <v>2314.0</v>
      </c>
      <c r="D58" s="18" t="s">
        <v>57</v>
      </c>
      <c r="E58" s="49">
        <v>11.3</v>
      </c>
      <c r="F58" s="38">
        <v>3.444</v>
      </c>
      <c r="G58" s="39">
        <v>22.5</v>
      </c>
      <c r="H58" s="39">
        <v>0.0</v>
      </c>
      <c r="I58" s="39">
        <v>0.0</v>
      </c>
      <c r="J58" s="2"/>
      <c r="K58" s="39">
        <v>397.61</v>
      </c>
      <c r="L58" s="38" t="s">
        <v>58</v>
      </c>
      <c r="M58" s="38">
        <v>7.638</v>
      </c>
      <c r="N58" s="46"/>
      <c r="O58" s="46"/>
      <c r="P58" s="2"/>
      <c r="Q58" s="41" t="s">
        <v>68</v>
      </c>
      <c r="R58" s="15"/>
      <c r="S58" s="16"/>
      <c r="T58" s="16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42" t="e">
        <v>#DIV/0!</v>
      </c>
      <c r="AI58" s="17"/>
      <c r="AJ58" s="12"/>
      <c r="AK58" s="12"/>
      <c r="AL58" s="13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4"/>
      <c r="BK58" s="14"/>
      <c r="BL58" s="14"/>
    </row>
    <row r="59" ht="17.25" customHeight="1">
      <c r="A59" s="18" t="s">
        <v>77</v>
      </c>
      <c r="B59" s="18" t="s">
        <v>56</v>
      </c>
      <c r="C59" s="37">
        <v>2315.0</v>
      </c>
      <c r="D59" s="18" t="s">
        <v>57</v>
      </c>
      <c r="E59" s="49">
        <v>15.0</v>
      </c>
      <c r="F59" s="38">
        <v>4.572</v>
      </c>
      <c r="G59" s="39">
        <v>17.5</v>
      </c>
      <c r="H59" s="39">
        <v>8.0</v>
      </c>
      <c r="I59" s="39">
        <v>0.0</v>
      </c>
      <c r="J59" s="2"/>
      <c r="K59" s="39">
        <v>240.53</v>
      </c>
      <c r="L59" s="38" t="s">
        <v>58</v>
      </c>
      <c r="M59" s="38">
        <v>5.54</v>
      </c>
      <c r="N59" s="40">
        <v>3.8</v>
      </c>
      <c r="O59" s="40">
        <v>3.6</v>
      </c>
      <c r="P59" s="2"/>
      <c r="Q59" s="41" t="s">
        <v>68</v>
      </c>
      <c r="R59" s="15"/>
      <c r="S59" s="16"/>
      <c r="T59" s="16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42" t="e">
        <v>#DIV/0!</v>
      </c>
      <c r="AI59" s="17"/>
      <c r="AJ59" s="12"/>
      <c r="AK59" s="12"/>
      <c r="AL59" s="13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4"/>
      <c r="BK59" s="14"/>
      <c r="BL59" s="14"/>
    </row>
    <row r="60" ht="17.25" customHeight="1">
      <c r="A60" s="18" t="s">
        <v>77</v>
      </c>
      <c r="B60" s="18" t="s">
        <v>61</v>
      </c>
      <c r="C60" s="37">
        <v>2316.0</v>
      </c>
      <c r="D60" s="18" t="s">
        <v>57</v>
      </c>
      <c r="E60" s="49">
        <v>24.3</v>
      </c>
      <c r="F60" s="38">
        <v>7.406</v>
      </c>
      <c r="G60" s="39">
        <v>20.3</v>
      </c>
      <c r="H60" s="39">
        <v>0.0</v>
      </c>
      <c r="I60" s="39">
        <v>0.0</v>
      </c>
      <c r="J60" s="2"/>
      <c r="K60" s="39">
        <v>323.65</v>
      </c>
      <c r="L60" s="38" t="s">
        <v>58</v>
      </c>
      <c r="M60" s="38">
        <v>4.231</v>
      </c>
      <c r="N60" s="40">
        <v>3.7</v>
      </c>
      <c r="O60" s="40">
        <v>3.65</v>
      </c>
      <c r="P60" s="2"/>
      <c r="Q60" s="41" t="s">
        <v>68</v>
      </c>
      <c r="R60" s="15"/>
      <c r="S60" s="16"/>
      <c r="T60" s="16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42" t="e">
        <v>#DIV/0!</v>
      </c>
      <c r="AI60" s="17"/>
      <c r="AJ60" s="12"/>
      <c r="AK60" s="12"/>
      <c r="AL60" s="13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4"/>
      <c r="BK60" s="14"/>
      <c r="BL60" s="14"/>
    </row>
    <row r="61" ht="17.25" customHeight="1">
      <c r="A61" s="18" t="s">
        <v>77</v>
      </c>
      <c r="B61" s="18" t="s">
        <v>61</v>
      </c>
      <c r="C61" s="37">
        <v>2317.0</v>
      </c>
      <c r="D61" s="18" t="s">
        <v>60</v>
      </c>
      <c r="E61" s="49">
        <v>28.0</v>
      </c>
      <c r="F61" s="38">
        <v>8.534</v>
      </c>
      <c r="G61" s="39">
        <v>28.5</v>
      </c>
      <c r="H61" s="39">
        <v>0.0</v>
      </c>
      <c r="I61" s="39">
        <v>0.0</v>
      </c>
      <c r="J61" s="2"/>
      <c r="K61" s="39">
        <v>637.94</v>
      </c>
      <c r="L61" s="38" t="s">
        <v>58</v>
      </c>
      <c r="M61" s="38">
        <v>13.208</v>
      </c>
      <c r="N61" s="46"/>
      <c r="O61" s="46"/>
      <c r="P61" s="2"/>
      <c r="Q61" s="41" t="s">
        <v>68</v>
      </c>
      <c r="R61" s="15"/>
      <c r="S61" s="16"/>
      <c r="T61" s="16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42" t="e">
        <v>#DIV/0!</v>
      </c>
      <c r="AI61" s="17"/>
      <c r="AJ61" s="12"/>
      <c r="AK61" s="12"/>
      <c r="AL61" s="13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4"/>
      <c r="BK61" s="14"/>
      <c r="BL61" s="14"/>
    </row>
    <row r="62" ht="17.25" customHeight="1">
      <c r="A62" s="18" t="s">
        <v>77</v>
      </c>
      <c r="B62" s="18" t="s">
        <v>61</v>
      </c>
      <c r="C62" s="37">
        <v>2318.0</v>
      </c>
      <c r="D62" s="18" t="s">
        <v>57</v>
      </c>
      <c r="E62" s="49">
        <v>28.9</v>
      </c>
      <c r="F62" s="38">
        <v>8.808</v>
      </c>
      <c r="G62" s="39">
        <v>28.8</v>
      </c>
      <c r="H62" s="39">
        <v>0.0</v>
      </c>
      <c r="I62" s="39">
        <v>0.0</v>
      </c>
      <c r="J62" s="2"/>
      <c r="K62" s="39">
        <v>651.44</v>
      </c>
      <c r="L62" s="38" t="s">
        <v>58</v>
      </c>
      <c r="M62" s="38">
        <v>11.232</v>
      </c>
      <c r="N62" s="46"/>
      <c r="O62" s="46"/>
      <c r="P62" s="2"/>
      <c r="Q62" s="41" t="s">
        <v>68</v>
      </c>
      <c r="R62" s="15"/>
      <c r="S62" s="16"/>
      <c r="T62" s="1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42" t="e">
        <v>#DIV/0!</v>
      </c>
      <c r="AI62" s="17"/>
      <c r="AJ62" s="12"/>
      <c r="AK62" s="12"/>
      <c r="AL62" s="13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4"/>
      <c r="BK62" s="14"/>
      <c r="BL62" s="14"/>
    </row>
    <row r="63" ht="17.25" customHeight="1">
      <c r="A63" s="18" t="s">
        <v>77</v>
      </c>
      <c r="B63" s="18" t="s">
        <v>61</v>
      </c>
      <c r="C63" s="37">
        <v>2319.0</v>
      </c>
      <c r="D63" s="18" t="s">
        <v>57</v>
      </c>
      <c r="E63" s="49">
        <v>30.6</v>
      </c>
      <c r="F63" s="38">
        <v>9.326</v>
      </c>
      <c r="G63" s="39">
        <v>14.1</v>
      </c>
      <c r="H63" s="39">
        <v>0.0</v>
      </c>
      <c r="I63" s="39">
        <v>0.0</v>
      </c>
      <c r="J63" s="2"/>
      <c r="K63" s="39">
        <v>156.15</v>
      </c>
      <c r="L63" s="38" t="s">
        <v>58</v>
      </c>
      <c r="M63" s="38">
        <v>7.986</v>
      </c>
      <c r="N63" s="46"/>
      <c r="O63" s="46"/>
      <c r="P63" s="2"/>
      <c r="Q63" s="41" t="s">
        <v>68</v>
      </c>
      <c r="R63" s="15"/>
      <c r="S63" s="16"/>
      <c r="T63" s="1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42" t="e">
        <v>#DIV/0!</v>
      </c>
      <c r="AI63" s="17"/>
      <c r="AJ63" s="12"/>
      <c r="AK63" s="12"/>
      <c r="AL63" s="13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4"/>
      <c r="BK63" s="14"/>
      <c r="BL63" s="14"/>
    </row>
    <row r="64" ht="17.25" customHeight="1">
      <c r="A64" s="18" t="s">
        <v>77</v>
      </c>
      <c r="B64" s="18" t="s">
        <v>56</v>
      </c>
      <c r="C64" s="37">
        <v>2320.0</v>
      </c>
      <c r="D64" s="18" t="s">
        <v>57</v>
      </c>
      <c r="E64" s="49">
        <v>37.2</v>
      </c>
      <c r="F64" s="38">
        <v>11.338</v>
      </c>
      <c r="G64" s="39">
        <v>28.0</v>
      </c>
      <c r="H64" s="39">
        <v>0.0</v>
      </c>
      <c r="I64" s="39">
        <v>0.0</v>
      </c>
      <c r="J64" s="2"/>
      <c r="K64" s="39">
        <v>615.75</v>
      </c>
      <c r="L64" s="38" t="s">
        <v>58</v>
      </c>
      <c r="M64" s="38">
        <v>10.826</v>
      </c>
      <c r="N64" s="40">
        <v>1.8</v>
      </c>
      <c r="O64" s="40">
        <v>1.65</v>
      </c>
      <c r="P64" s="40">
        <v>1.7</v>
      </c>
      <c r="Q64" s="41" t="s">
        <v>68</v>
      </c>
      <c r="R64" s="15"/>
      <c r="S64" s="16"/>
      <c r="T64" s="1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42" t="e">
        <v>#DIV/0!</v>
      </c>
      <c r="AI64" s="17"/>
      <c r="AJ64" s="12"/>
      <c r="AK64" s="12"/>
      <c r="AL64" s="13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4"/>
      <c r="BK64" s="14"/>
      <c r="BL64" s="14"/>
    </row>
    <row r="65" ht="17.25" customHeight="1">
      <c r="A65" s="18" t="s">
        <v>77</v>
      </c>
      <c r="B65" s="18" t="s">
        <v>61</v>
      </c>
      <c r="C65" s="37">
        <v>2321.0</v>
      </c>
      <c r="D65" s="18" t="s">
        <v>60</v>
      </c>
      <c r="E65" s="49">
        <v>45.1</v>
      </c>
      <c r="F65" s="38">
        <v>13.746</v>
      </c>
      <c r="G65" s="39">
        <v>19.65</v>
      </c>
      <c r="H65" s="39">
        <v>0.0</v>
      </c>
      <c r="I65" s="39">
        <v>0.0</v>
      </c>
      <c r="J65" s="2"/>
      <c r="K65" s="39">
        <v>303.26</v>
      </c>
      <c r="L65" s="38" t="s">
        <v>58</v>
      </c>
      <c r="M65" s="38">
        <v>5.87</v>
      </c>
      <c r="N65" s="40">
        <v>3.6</v>
      </c>
      <c r="O65" s="40">
        <v>3.45</v>
      </c>
      <c r="P65" s="2"/>
      <c r="Q65" s="41" t="s">
        <v>68</v>
      </c>
      <c r="R65" s="15"/>
      <c r="S65" s="16"/>
      <c r="T65" s="1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42" t="e">
        <v>#DIV/0!</v>
      </c>
      <c r="AI65" s="17"/>
      <c r="AJ65" s="12"/>
      <c r="AK65" s="12"/>
      <c r="AL65" s="13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4"/>
      <c r="BK65" s="14"/>
      <c r="BL65" s="14"/>
    </row>
    <row r="66" ht="17.25" customHeight="1">
      <c r="A66" s="18" t="s">
        <v>77</v>
      </c>
      <c r="B66" s="18" t="s">
        <v>56</v>
      </c>
      <c r="C66" s="37">
        <v>2322.0</v>
      </c>
      <c r="D66" s="18" t="s">
        <v>57</v>
      </c>
      <c r="E66" s="49">
        <v>48.8</v>
      </c>
      <c r="F66" s="38">
        <v>14.874</v>
      </c>
      <c r="G66" s="39">
        <v>25.5</v>
      </c>
      <c r="H66" s="39">
        <v>30.3</v>
      </c>
      <c r="I66" s="39">
        <v>0.0</v>
      </c>
      <c r="J66" s="2"/>
      <c r="K66" s="39">
        <v>1231.77</v>
      </c>
      <c r="L66" s="38" t="s">
        <v>58</v>
      </c>
      <c r="M66" s="38">
        <v>8.614</v>
      </c>
      <c r="N66" s="46"/>
      <c r="O66" s="46"/>
      <c r="P66" s="2"/>
      <c r="Q66" s="41" t="s">
        <v>68</v>
      </c>
      <c r="R66" s="15"/>
      <c r="S66" s="16"/>
      <c r="T66" s="37">
        <v>0.62</v>
      </c>
      <c r="U66" s="37">
        <v>0.63</v>
      </c>
      <c r="V66" s="37">
        <v>0.63</v>
      </c>
      <c r="W66" s="21"/>
      <c r="X66" s="21"/>
      <c r="Y66" s="21"/>
      <c r="Z66" s="12"/>
      <c r="AA66" s="12"/>
      <c r="AB66" s="12"/>
      <c r="AC66" s="12"/>
      <c r="AD66" s="12"/>
      <c r="AE66" s="12"/>
      <c r="AF66" s="12"/>
      <c r="AG66" s="12"/>
      <c r="AH66" s="42" t="e">
        <v>#DIV/0!</v>
      </c>
      <c r="AI66" s="17"/>
      <c r="AJ66" s="12"/>
      <c r="AK66" s="12"/>
      <c r="AL66" s="13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4"/>
      <c r="BK66" s="14"/>
      <c r="BL66" s="14"/>
    </row>
    <row r="67" ht="17.25" customHeight="1">
      <c r="A67" s="18" t="s">
        <v>77</v>
      </c>
      <c r="B67" s="18" t="s">
        <v>56</v>
      </c>
      <c r="C67" s="37">
        <v>2323.0</v>
      </c>
      <c r="D67" s="18" t="s">
        <v>60</v>
      </c>
      <c r="E67" s="49">
        <v>51.6</v>
      </c>
      <c r="F67" s="38">
        <v>15.727</v>
      </c>
      <c r="G67" s="39">
        <v>25.5</v>
      </c>
      <c r="H67" s="39">
        <v>0.0</v>
      </c>
      <c r="I67" s="39">
        <v>0.0</v>
      </c>
      <c r="J67" s="2"/>
      <c r="K67" s="39">
        <v>510.71</v>
      </c>
      <c r="L67" s="38" t="s">
        <v>58</v>
      </c>
      <c r="M67" s="38">
        <v>8.04</v>
      </c>
      <c r="N67" s="46"/>
      <c r="O67" s="46"/>
      <c r="P67" s="2"/>
      <c r="Q67" s="41" t="s">
        <v>68</v>
      </c>
      <c r="R67" s="15"/>
      <c r="S67" s="16"/>
      <c r="T67" s="16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42" t="e">
        <v>#DIV/0!</v>
      </c>
      <c r="AI67" s="17"/>
      <c r="AJ67" s="12"/>
      <c r="AK67" s="12"/>
      <c r="AL67" s="13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4"/>
      <c r="BK67" s="14"/>
      <c r="BL67" s="14"/>
    </row>
    <row r="68" ht="17.25" customHeight="1">
      <c r="A68" s="18" t="s">
        <v>77</v>
      </c>
      <c r="B68" s="18" t="s">
        <v>61</v>
      </c>
      <c r="C68" s="37">
        <v>2324.0</v>
      </c>
      <c r="D68" s="18" t="s">
        <v>57</v>
      </c>
      <c r="E68" s="49">
        <v>60.0</v>
      </c>
      <c r="F68" s="38">
        <v>18.287</v>
      </c>
      <c r="G68" s="39">
        <v>14.7</v>
      </c>
      <c r="H68" s="39">
        <v>0.0</v>
      </c>
      <c r="I68" s="39">
        <v>0.0</v>
      </c>
      <c r="J68" s="2"/>
      <c r="K68" s="39">
        <v>169.72</v>
      </c>
      <c r="L68" s="38" t="s">
        <v>58</v>
      </c>
      <c r="M68" s="38">
        <v>7.34</v>
      </c>
      <c r="N68" s="40">
        <v>3.36</v>
      </c>
      <c r="O68" s="40">
        <v>3.4</v>
      </c>
      <c r="P68" s="2"/>
      <c r="Q68" s="41" t="s">
        <v>68</v>
      </c>
      <c r="R68" s="15"/>
      <c r="S68" s="16"/>
      <c r="T68" s="16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42" t="e">
        <v>#DIV/0!</v>
      </c>
      <c r="AI68" s="17"/>
      <c r="AJ68" s="12"/>
      <c r="AK68" s="12"/>
      <c r="AL68" s="13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4"/>
      <c r="BK68" s="14"/>
      <c r="BL68" s="14"/>
    </row>
    <row r="69" ht="17.25" customHeight="1">
      <c r="A69" s="18" t="s">
        <v>77</v>
      </c>
      <c r="B69" s="18" t="s">
        <v>61</v>
      </c>
      <c r="C69" s="37">
        <v>2325.0</v>
      </c>
      <c r="D69" s="18" t="s">
        <v>60</v>
      </c>
      <c r="E69" s="49">
        <v>60.9</v>
      </c>
      <c r="F69" s="38">
        <v>18.561</v>
      </c>
      <c r="G69" s="39">
        <v>21.3</v>
      </c>
      <c r="H69" s="39">
        <v>25.7</v>
      </c>
      <c r="I69" s="39">
        <v>0.0</v>
      </c>
      <c r="J69" s="2"/>
      <c r="K69" s="39">
        <v>875.07</v>
      </c>
      <c r="L69" s="38" t="s">
        <v>58</v>
      </c>
      <c r="M69" s="38">
        <v>12.92</v>
      </c>
      <c r="N69" s="46"/>
      <c r="O69" s="46"/>
      <c r="P69" s="47"/>
      <c r="Q69" s="41" t="s">
        <v>68</v>
      </c>
      <c r="R69" s="15"/>
      <c r="S69" s="16"/>
      <c r="T69" s="16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42" t="e">
        <v>#DIV/0!</v>
      </c>
      <c r="AI69" s="17"/>
      <c r="AJ69" s="12"/>
      <c r="AK69" s="12"/>
      <c r="AL69" s="13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4"/>
      <c r="BK69" s="14"/>
      <c r="BL69" s="14"/>
    </row>
    <row r="70" ht="17.25" customHeight="1">
      <c r="A70" s="18" t="s">
        <v>77</v>
      </c>
      <c r="B70" s="18" t="s">
        <v>61</v>
      </c>
      <c r="C70" s="37">
        <v>2327.0</v>
      </c>
      <c r="D70" s="18" t="s">
        <v>60</v>
      </c>
      <c r="E70" s="49">
        <v>77.0</v>
      </c>
      <c r="F70" s="38">
        <v>23.468</v>
      </c>
      <c r="G70" s="39">
        <v>19.4</v>
      </c>
      <c r="H70" s="5"/>
      <c r="I70" s="39">
        <v>0.0</v>
      </c>
      <c r="J70" s="2"/>
      <c r="K70" s="39">
        <v>295.59</v>
      </c>
      <c r="L70" s="38" t="s">
        <v>58</v>
      </c>
      <c r="M70" s="38">
        <v>5.861</v>
      </c>
      <c r="N70" s="46"/>
      <c r="O70" s="46"/>
      <c r="P70" s="47"/>
      <c r="Q70" s="41" t="s">
        <v>68</v>
      </c>
      <c r="R70" s="15"/>
      <c r="S70" s="16"/>
      <c r="T70" s="16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42" t="e">
        <v>#DIV/0!</v>
      </c>
      <c r="AI70" s="17"/>
      <c r="AJ70" s="12"/>
      <c r="AK70" s="12"/>
      <c r="AL70" s="13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4"/>
      <c r="BK70" s="14"/>
      <c r="BL70" s="14"/>
    </row>
    <row r="71" ht="17.25" customHeight="1">
      <c r="A71" s="18" t="s">
        <v>77</v>
      </c>
      <c r="B71" s="18" t="s">
        <v>61</v>
      </c>
      <c r="C71" s="37">
        <v>2326.0</v>
      </c>
      <c r="D71" s="18" t="s">
        <v>60</v>
      </c>
      <c r="E71" s="49">
        <v>78.1</v>
      </c>
      <c r="F71" s="38">
        <v>23.804</v>
      </c>
      <c r="G71" s="39">
        <v>12.1</v>
      </c>
      <c r="H71" s="39">
        <v>0.0</v>
      </c>
      <c r="I71" s="39">
        <v>0.0</v>
      </c>
      <c r="J71" s="2"/>
      <c r="K71" s="39">
        <v>114.99</v>
      </c>
      <c r="L71" s="38" t="s">
        <v>58</v>
      </c>
      <c r="M71" s="38">
        <v>9.894</v>
      </c>
      <c r="N71" s="40">
        <v>3.7</v>
      </c>
      <c r="O71" s="46"/>
      <c r="P71" s="47"/>
      <c r="Q71" s="41" t="s">
        <v>68</v>
      </c>
      <c r="R71" s="15"/>
      <c r="S71" s="16"/>
      <c r="T71" s="16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42" t="e">
        <v>#DIV/0!</v>
      </c>
      <c r="AI71" s="17"/>
      <c r="AJ71" s="12"/>
      <c r="AK71" s="12"/>
      <c r="AL71" s="13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4"/>
      <c r="BK71" s="14"/>
      <c r="BL71" s="14"/>
    </row>
    <row r="72" ht="17.25" customHeight="1">
      <c r="A72" s="18" t="s">
        <v>77</v>
      </c>
      <c r="B72" s="18" t="s">
        <v>56</v>
      </c>
      <c r="C72" s="37">
        <v>2328.0</v>
      </c>
      <c r="D72" s="18" t="s">
        <v>60</v>
      </c>
      <c r="E72" s="49">
        <v>78.7</v>
      </c>
      <c r="F72" s="4"/>
      <c r="G72" s="39">
        <v>9.1</v>
      </c>
      <c r="H72" s="39">
        <v>13.0</v>
      </c>
      <c r="I72" s="50"/>
      <c r="J72" s="2"/>
      <c r="K72" s="50"/>
      <c r="L72" s="6"/>
      <c r="M72" s="4"/>
      <c r="N72" s="46"/>
      <c r="O72" s="46"/>
      <c r="P72" s="47"/>
      <c r="Q72" s="2"/>
      <c r="R72" s="15"/>
      <c r="S72" s="16"/>
      <c r="T72" s="16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42" t="e">
        <v>#DIV/0!</v>
      </c>
      <c r="AI72" s="17"/>
      <c r="AJ72" s="12"/>
      <c r="AK72" s="12"/>
      <c r="AL72" s="13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4"/>
      <c r="BK72" s="14"/>
      <c r="BL72" s="14"/>
    </row>
    <row r="73" ht="17.25" customHeight="1">
      <c r="A73" s="18" t="s">
        <v>77</v>
      </c>
      <c r="B73" s="18" t="s">
        <v>61</v>
      </c>
      <c r="C73" s="37">
        <v>2329.0</v>
      </c>
      <c r="D73" s="18" t="s">
        <v>60</v>
      </c>
      <c r="E73" s="49">
        <v>82.1</v>
      </c>
      <c r="F73" s="38">
        <v>25.968</v>
      </c>
      <c r="G73" s="39">
        <v>12.0</v>
      </c>
      <c r="H73" s="39">
        <v>0.0</v>
      </c>
      <c r="I73" s="39">
        <v>0.0</v>
      </c>
      <c r="J73" s="2"/>
      <c r="K73" s="39">
        <v>113.1</v>
      </c>
      <c r="L73" s="38" t="s">
        <v>58</v>
      </c>
      <c r="M73" s="38">
        <v>7.336</v>
      </c>
      <c r="N73" s="46"/>
      <c r="O73" s="46"/>
      <c r="P73" s="2"/>
      <c r="Q73" s="41" t="s">
        <v>68</v>
      </c>
      <c r="R73" s="15"/>
      <c r="S73" s="16"/>
      <c r="T73" s="16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42" t="e">
        <v>#DIV/0!</v>
      </c>
      <c r="AI73" s="17"/>
      <c r="AJ73" s="12"/>
      <c r="AK73" s="12"/>
      <c r="AL73" s="13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4"/>
      <c r="BK73" s="14"/>
      <c r="BL73" s="14"/>
    </row>
    <row r="74" ht="17.25" customHeight="1">
      <c r="A74" s="18" t="s">
        <v>77</v>
      </c>
      <c r="B74" s="18" t="s">
        <v>61</v>
      </c>
      <c r="C74" s="37">
        <v>2330.0</v>
      </c>
      <c r="D74" s="18" t="s">
        <v>60</v>
      </c>
      <c r="E74" s="49">
        <v>86.5</v>
      </c>
      <c r="F74" s="4"/>
      <c r="G74" s="39">
        <v>12.0</v>
      </c>
      <c r="H74" s="50"/>
      <c r="I74" s="50"/>
      <c r="J74" s="2"/>
      <c r="K74" s="50"/>
      <c r="L74" s="6"/>
      <c r="M74" s="4"/>
      <c r="N74" s="46"/>
      <c r="O74" s="46"/>
      <c r="P74" s="47"/>
      <c r="Q74" s="2"/>
      <c r="R74" s="15"/>
      <c r="S74" s="16"/>
      <c r="T74" s="16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42" t="e">
        <v>#DIV/0!</v>
      </c>
      <c r="AI74" s="17"/>
      <c r="AJ74" s="12"/>
      <c r="AK74" s="12"/>
      <c r="AL74" s="13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4"/>
      <c r="BK74" s="14"/>
      <c r="BL74" s="14"/>
    </row>
    <row r="75" ht="15.75" customHeight="1">
      <c r="A75" s="18" t="s">
        <v>77</v>
      </c>
      <c r="B75" s="18" t="s">
        <v>56</v>
      </c>
      <c r="C75" s="37">
        <v>2331.0</v>
      </c>
      <c r="D75" s="18" t="s">
        <v>57</v>
      </c>
      <c r="E75" s="49">
        <v>103.2</v>
      </c>
      <c r="F75" s="38">
        <v>31.454</v>
      </c>
      <c r="G75" s="39">
        <v>36.2</v>
      </c>
      <c r="H75" s="39">
        <v>0.0</v>
      </c>
      <c r="I75" s="39">
        <v>0.0</v>
      </c>
      <c r="J75" s="2"/>
      <c r="K75" s="39">
        <v>1029.22</v>
      </c>
      <c r="L75" s="38" t="s">
        <v>58</v>
      </c>
      <c r="M75" s="38">
        <v>8.34</v>
      </c>
      <c r="N75" s="40">
        <v>3.2</v>
      </c>
      <c r="O75" s="46"/>
      <c r="P75" s="2"/>
      <c r="Q75" s="41" t="s">
        <v>68</v>
      </c>
      <c r="R75" s="15"/>
      <c r="S75" s="16"/>
      <c r="T75" s="37">
        <v>0.45</v>
      </c>
      <c r="U75" s="37">
        <v>0.48</v>
      </c>
      <c r="V75" s="37">
        <v>0.56</v>
      </c>
      <c r="W75" s="21"/>
      <c r="X75" s="21"/>
      <c r="Y75" s="21"/>
      <c r="Z75" s="12"/>
      <c r="AA75" s="37">
        <v>2.51</v>
      </c>
      <c r="AB75" s="37">
        <v>2.3</v>
      </c>
      <c r="AC75" s="37">
        <v>2.7</v>
      </c>
      <c r="AD75" s="37">
        <v>2.83</v>
      </c>
      <c r="AE75" s="37">
        <v>2.72</v>
      </c>
      <c r="AF75" s="21"/>
      <c r="AG75" s="21"/>
      <c r="AH75" s="37">
        <v>2.612</v>
      </c>
      <c r="AI75" s="17"/>
      <c r="AJ75" s="12"/>
      <c r="AK75" s="12"/>
      <c r="AL75" s="13"/>
      <c r="AM75" s="12"/>
      <c r="AN75" s="12"/>
      <c r="AO75" s="12"/>
      <c r="AP75" s="12"/>
      <c r="AQ75" s="12"/>
      <c r="AR75" s="12"/>
      <c r="AS75" s="37">
        <v>2.14</v>
      </c>
      <c r="AT75" s="37">
        <v>0.3022</v>
      </c>
      <c r="AU75" s="37">
        <v>2.342</v>
      </c>
      <c r="AV75" s="37">
        <v>0.2509</v>
      </c>
      <c r="AW75" s="37">
        <v>2.206</v>
      </c>
      <c r="AX75" s="37">
        <v>0.1918</v>
      </c>
      <c r="AY75" s="21"/>
      <c r="AZ75" s="21"/>
      <c r="BA75" s="21"/>
      <c r="BB75" s="12"/>
      <c r="BC75" s="12"/>
      <c r="BD75" s="12"/>
      <c r="BE75" s="12"/>
      <c r="BF75" s="12"/>
      <c r="BG75" s="12"/>
      <c r="BH75" s="37">
        <v>1.1844</v>
      </c>
      <c r="BI75" s="12"/>
      <c r="BJ75" s="14"/>
      <c r="BK75" s="22">
        <v>1.1844</v>
      </c>
      <c r="BL75" s="14"/>
    </row>
    <row r="76" ht="15.75" customHeight="1">
      <c r="A76" s="18" t="s">
        <v>77</v>
      </c>
      <c r="B76" s="18" t="s">
        <v>61</v>
      </c>
      <c r="C76" s="37">
        <v>2332.0</v>
      </c>
      <c r="D76" s="18" t="s">
        <v>60</v>
      </c>
      <c r="E76" s="49">
        <v>123.0</v>
      </c>
      <c r="F76" s="38">
        <v>37.489</v>
      </c>
      <c r="G76" s="39">
        <v>85.5</v>
      </c>
      <c r="H76" s="39">
        <v>0.0</v>
      </c>
      <c r="I76" s="39">
        <v>0.0</v>
      </c>
      <c r="J76" s="2"/>
      <c r="K76" s="39">
        <v>5741.46</v>
      </c>
      <c r="L76" s="38" t="s">
        <v>58</v>
      </c>
      <c r="M76" s="38">
        <v>12.609</v>
      </c>
      <c r="N76" s="46"/>
      <c r="O76" s="46"/>
      <c r="P76" s="47"/>
      <c r="Q76" s="41" t="s">
        <v>68</v>
      </c>
      <c r="R76" s="44">
        <v>1.0</v>
      </c>
      <c r="S76" s="37">
        <v>1.0</v>
      </c>
      <c r="T76" s="16"/>
      <c r="U76" s="21"/>
      <c r="V76" s="2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42" t="e">
        <v>#DIV/0!</v>
      </c>
      <c r="AI76" s="17"/>
      <c r="AJ76" s="12"/>
      <c r="AK76" s="12"/>
      <c r="AL76" s="13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4"/>
      <c r="BK76" s="14"/>
      <c r="BL76" s="14"/>
    </row>
    <row r="77" ht="15.75" customHeight="1">
      <c r="A77" s="18" t="s">
        <v>77</v>
      </c>
      <c r="B77" s="18" t="s">
        <v>61</v>
      </c>
      <c r="C77" s="37">
        <v>2333.0</v>
      </c>
      <c r="D77" s="18" t="s">
        <v>57</v>
      </c>
      <c r="E77" s="49">
        <v>125.6</v>
      </c>
      <c r="F77" s="38">
        <v>38.281</v>
      </c>
      <c r="G77" s="39">
        <v>14.4</v>
      </c>
      <c r="H77" s="39">
        <v>0.0</v>
      </c>
      <c r="I77" s="39">
        <v>0.0</v>
      </c>
      <c r="J77" s="2"/>
      <c r="K77" s="39">
        <v>162.86</v>
      </c>
      <c r="L77" s="38" t="s">
        <v>58</v>
      </c>
      <c r="M77" s="38">
        <v>5.688</v>
      </c>
      <c r="N77" s="46"/>
      <c r="O77" s="46"/>
      <c r="P77" s="2"/>
      <c r="Q77" s="41" t="s">
        <v>68</v>
      </c>
      <c r="R77" s="44">
        <v>1.0</v>
      </c>
      <c r="S77" s="37">
        <v>0.0</v>
      </c>
      <c r="T77" s="16"/>
      <c r="U77" s="21"/>
      <c r="V77" s="2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42" t="e">
        <v>#DIV/0!</v>
      </c>
      <c r="AI77" s="17"/>
      <c r="AJ77" s="12"/>
      <c r="AK77" s="12"/>
      <c r="AL77" s="13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4"/>
      <c r="BK77" s="14"/>
      <c r="BL77" s="14"/>
    </row>
    <row r="78" ht="15.75" customHeight="1">
      <c r="A78" s="59" t="s">
        <v>77</v>
      </c>
      <c r="B78" s="60" t="s">
        <v>61</v>
      </c>
      <c r="C78" s="37">
        <v>2334.0</v>
      </c>
      <c r="D78" s="60" t="s">
        <v>60</v>
      </c>
      <c r="E78" s="37">
        <v>159.0</v>
      </c>
      <c r="F78" s="39">
        <v>48.46</v>
      </c>
      <c r="G78" s="37">
        <v>11.8</v>
      </c>
      <c r="H78" s="37">
        <v>0.0</v>
      </c>
      <c r="I78" s="37">
        <v>0.0</v>
      </c>
      <c r="J78" s="2"/>
      <c r="K78" s="37">
        <v>109.36</v>
      </c>
      <c r="L78" s="38" t="s">
        <v>58</v>
      </c>
      <c r="M78" s="38">
        <v>7.331</v>
      </c>
      <c r="N78" s="40">
        <v>4.9</v>
      </c>
      <c r="O78" s="40">
        <v>5.0</v>
      </c>
      <c r="P78" s="40">
        <v>4.95</v>
      </c>
      <c r="Q78" s="41" t="s">
        <v>68</v>
      </c>
      <c r="R78" s="44">
        <v>1.0</v>
      </c>
      <c r="S78" s="37">
        <v>0.0</v>
      </c>
      <c r="T78" s="16"/>
      <c r="U78" s="21"/>
      <c r="V78" s="2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42" t="e">
        <v>#DIV/0!</v>
      </c>
      <c r="AI78" s="17"/>
      <c r="AJ78" s="12"/>
      <c r="AK78" s="12"/>
      <c r="AL78" s="13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4"/>
      <c r="BK78" s="14"/>
      <c r="BL78" s="14"/>
    </row>
    <row r="79" ht="15.75" customHeight="1">
      <c r="A79" s="18" t="s">
        <v>77</v>
      </c>
      <c r="B79" s="18" t="s">
        <v>61</v>
      </c>
      <c r="C79" s="37">
        <v>2336.0</v>
      </c>
      <c r="D79" s="18" t="s">
        <v>60</v>
      </c>
      <c r="E79" s="49">
        <v>159.0</v>
      </c>
      <c r="F79" s="38">
        <v>48.461</v>
      </c>
      <c r="G79" s="39">
        <v>11.8</v>
      </c>
      <c r="H79" s="39">
        <v>0.0</v>
      </c>
      <c r="I79" s="39">
        <v>0.0</v>
      </c>
      <c r="J79" s="2"/>
      <c r="K79" s="39">
        <v>109.36</v>
      </c>
      <c r="L79" s="38" t="s">
        <v>58</v>
      </c>
      <c r="M79" s="38">
        <v>7.331</v>
      </c>
      <c r="N79" s="46"/>
      <c r="O79" s="46"/>
      <c r="P79" s="47"/>
      <c r="Q79" s="41" t="s">
        <v>68</v>
      </c>
      <c r="R79" s="44">
        <v>0.0</v>
      </c>
      <c r="S79" s="37">
        <v>0.0</v>
      </c>
      <c r="T79" s="16"/>
      <c r="U79" s="21"/>
      <c r="V79" s="2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42" t="e">
        <v>#DIV/0!</v>
      </c>
      <c r="AI79" s="17"/>
      <c r="AJ79" s="12"/>
      <c r="AK79" s="12"/>
      <c r="AL79" s="13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4"/>
      <c r="BK79" s="14"/>
      <c r="BL79" s="14"/>
    </row>
    <row r="80" ht="15.75" customHeight="1">
      <c r="A80" s="18" t="s">
        <v>77</v>
      </c>
      <c r="B80" s="18" t="s">
        <v>61</v>
      </c>
      <c r="C80" s="37">
        <v>2335.0</v>
      </c>
      <c r="D80" s="18" t="s">
        <v>60</v>
      </c>
      <c r="E80" s="49">
        <v>160.1</v>
      </c>
      <c r="F80" s="38">
        <v>48.796</v>
      </c>
      <c r="G80" s="39">
        <v>25.6</v>
      </c>
      <c r="H80" s="39">
        <v>0.0</v>
      </c>
      <c r="I80" s="39">
        <v>0.0</v>
      </c>
      <c r="J80" s="2"/>
      <c r="K80" s="39">
        <v>514.72</v>
      </c>
      <c r="L80" s="38" t="s">
        <v>58</v>
      </c>
      <c r="M80" s="38">
        <v>15.12</v>
      </c>
      <c r="N80" s="46"/>
      <c r="O80" s="46"/>
      <c r="P80" s="47"/>
      <c r="Q80" s="41" t="s">
        <v>68</v>
      </c>
      <c r="R80" s="44">
        <v>1.0</v>
      </c>
      <c r="S80" s="37">
        <v>0.0</v>
      </c>
      <c r="T80" s="16"/>
      <c r="U80" s="21"/>
      <c r="V80" s="2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42" t="e">
        <v>#DIV/0!</v>
      </c>
      <c r="AI80" s="17"/>
      <c r="AJ80" s="12"/>
      <c r="AK80" s="12"/>
      <c r="AL80" s="13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4"/>
      <c r="BK80" s="14"/>
      <c r="BL80" s="14"/>
    </row>
    <row r="81" ht="15.75" customHeight="1">
      <c r="A81" s="18" t="s">
        <v>78</v>
      </c>
      <c r="B81" s="18" t="s">
        <v>61</v>
      </c>
      <c r="C81" s="37">
        <v>2374.0</v>
      </c>
      <c r="D81" s="12"/>
      <c r="E81" s="3"/>
      <c r="F81" s="4"/>
      <c r="G81" s="39">
        <v>36.2</v>
      </c>
      <c r="H81" s="39">
        <v>32.8</v>
      </c>
      <c r="I81" s="39">
        <v>0.0</v>
      </c>
      <c r="J81" s="2"/>
      <c r="K81" s="50"/>
      <c r="L81" s="6"/>
      <c r="M81" s="4"/>
      <c r="N81" s="46"/>
      <c r="O81" s="46"/>
      <c r="P81" s="47"/>
      <c r="Q81" s="2"/>
      <c r="R81" s="44">
        <v>2.0</v>
      </c>
      <c r="S81" s="37">
        <v>2.0</v>
      </c>
      <c r="T81" s="16"/>
      <c r="U81" s="21"/>
      <c r="V81" s="2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42" t="e">
        <v>#DIV/0!</v>
      </c>
      <c r="AI81" s="17"/>
      <c r="AJ81" s="12"/>
      <c r="AK81" s="12"/>
      <c r="AL81" s="13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K81" s="14"/>
      <c r="BL81" s="14"/>
    </row>
    <row r="82" ht="15.75" customHeight="1">
      <c r="A82" s="18" t="s">
        <v>79</v>
      </c>
      <c r="B82" s="18" t="s">
        <v>56</v>
      </c>
      <c r="C82" s="43">
        <v>2301.0</v>
      </c>
      <c r="D82" s="18" t="s">
        <v>60</v>
      </c>
      <c r="E82" s="49">
        <v>7.0</v>
      </c>
      <c r="F82" s="38">
        <v>2.133</v>
      </c>
      <c r="G82" s="39">
        <v>48.5</v>
      </c>
      <c r="H82" s="39">
        <v>32.6</v>
      </c>
      <c r="I82" s="39">
        <v>0.0</v>
      </c>
      <c r="J82" s="2"/>
      <c r="K82" s="39">
        <v>2682.14</v>
      </c>
      <c r="L82" s="38" t="s">
        <v>58</v>
      </c>
      <c r="M82" s="38">
        <v>14.621</v>
      </c>
      <c r="N82" s="40">
        <v>3.0</v>
      </c>
      <c r="O82" s="40">
        <v>2.9</v>
      </c>
      <c r="P82" s="47"/>
      <c r="Q82" s="41" t="s">
        <v>68</v>
      </c>
      <c r="R82" s="15"/>
      <c r="S82" s="16"/>
      <c r="T82" s="37">
        <v>1.12</v>
      </c>
      <c r="U82" s="37">
        <v>0.74</v>
      </c>
      <c r="V82" s="37">
        <v>1.23</v>
      </c>
      <c r="W82" s="37">
        <v>0.81</v>
      </c>
      <c r="X82" s="21"/>
      <c r="Y82" s="21"/>
      <c r="Z82" s="21"/>
      <c r="AA82" s="37">
        <v>1.7</v>
      </c>
      <c r="AB82" s="37">
        <v>1.42</v>
      </c>
      <c r="AC82" s="37">
        <v>1.7</v>
      </c>
      <c r="AD82" s="37">
        <v>2.25</v>
      </c>
      <c r="AE82" s="37">
        <v>1.96</v>
      </c>
      <c r="AF82" s="21"/>
      <c r="AG82" s="21"/>
      <c r="AH82" s="37">
        <v>1.806</v>
      </c>
      <c r="AI82" s="17"/>
      <c r="AJ82" s="12"/>
      <c r="AK82" s="12"/>
      <c r="AL82" s="13"/>
      <c r="AM82" s="12"/>
      <c r="AN82" s="12"/>
      <c r="AO82" s="12"/>
      <c r="AP82" s="12"/>
      <c r="AQ82" s="12"/>
      <c r="AR82" s="12"/>
      <c r="AS82" s="37">
        <v>2.26</v>
      </c>
      <c r="AT82" s="37">
        <v>0.516</v>
      </c>
      <c r="AU82" s="37">
        <v>2.61</v>
      </c>
      <c r="AV82" s="37">
        <v>0.2882</v>
      </c>
      <c r="AW82" s="37">
        <v>2.112</v>
      </c>
      <c r="AX82" s="37">
        <v>0.3896</v>
      </c>
      <c r="AY82" s="37">
        <v>2.19</v>
      </c>
      <c r="AZ82" s="37">
        <v>0.3978</v>
      </c>
      <c r="BA82" s="21"/>
      <c r="BB82" s="21"/>
      <c r="BC82" s="21"/>
      <c r="BD82" s="12"/>
      <c r="BE82" s="12"/>
      <c r="BF82" s="12"/>
      <c r="BG82" s="12"/>
      <c r="BH82" s="37">
        <v>1.7593</v>
      </c>
      <c r="BI82" s="12"/>
      <c r="BJ82" s="14"/>
      <c r="BK82" s="22">
        <v>1.7593</v>
      </c>
      <c r="BL82" s="14"/>
    </row>
    <row r="83" ht="15.75" customHeight="1">
      <c r="A83" s="18" t="s">
        <v>79</v>
      </c>
      <c r="B83" s="18" t="s">
        <v>61</v>
      </c>
      <c r="C83" s="37">
        <v>2302.0</v>
      </c>
      <c r="D83" s="18" t="s">
        <v>57</v>
      </c>
      <c r="E83" s="49">
        <v>13.4</v>
      </c>
      <c r="F83" s="38">
        <v>4.084</v>
      </c>
      <c r="G83" s="39">
        <v>35.9</v>
      </c>
      <c r="H83" s="39">
        <v>0.0</v>
      </c>
      <c r="I83" s="39">
        <v>0.0</v>
      </c>
      <c r="J83" s="2"/>
      <c r="K83" s="39">
        <v>1012.23</v>
      </c>
      <c r="L83" s="38" t="s">
        <v>58</v>
      </c>
      <c r="M83" s="38">
        <v>10.842</v>
      </c>
      <c r="N83" s="40">
        <v>3.2</v>
      </c>
      <c r="O83" s="40">
        <v>3.1</v>
      </c>
      <c r="P83" s="2"/>
      <c r="Q83" s="41" t="s">
        <v>68</v>
      </c>
      <c r="R83" s="44">
        <v>0.0</v>
      </c>
      <c r="S83" s="37">
        <v>1.0</v>
      </c>
      <c r="T83" s="16"/>
      <c r="U83" s="21"/>
      <c r="V83" s="2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42" t="e">
        <v>#DIV/0!</v>
      </c>
      <c r="AI83" s="17"/>
      <c r="AJ83" s="12"/>
      <c r="AK83" s="12"/>
      <c r="AL83" s="13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K83" s="14"/>
      <c r="BL83" s="14"/>
    </row>
    <row r="84" ht="15.75" customHeight="1">
      <c r="A84" s="18" t="s">
        <v>79</v>
      </c>
      <c r="B84" s="18" t="s">
        <v>61</v>
      </c>
      <c r="C84" s="37">
        <v>2303.0</v>
      </c>
      <c r="D84" s="18" t="s">
        <v>60</v>
      </c>
      <c r="E84" s="49">
        <v>18.6</v>
      </c>
      <c r="F84" s="38">
        <v>5.669</v>
      </c>
      <c r="G84" s="39">
        <v>27.7</v>
      </c>
      <c r="H84" s="39">
        <v>0.0</v>
      </c>
      <c r="I84" s="39">
        <v>0.0</v>
      </c>
      <c r="J84" s="2"/>
      <c r="K84" s="39">
        <v>602.63</v>
      </c>
      <c r="L84" s="38" t="s">
        <v>58</v>
      </c>
      <c r="M84" s="38">
        <v>11.76</v>
      </c>
      <c r="N84" s="46"/>
      <c r="O84" s="46"/>
      <c r="P84" s="2"/>
      <c r="Q84" s="41" t="s">
        <v>68</v>
      </c>
      <c r="R84" s="44">
        <v>0.0</v>
      </c>
      <c r="S84" s="37">
        <v>0.0</v>
      </c>
      <c r="T84" s="16"/>
      <c r="U84" s="21"/>
      <c r="V84" s="2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42" t="e">
        <v>#DIV/0!</v>
      </c>
      <c r="AI84" s="17"/>
      <c r="AJ84" s="12"/>
      <c r="AK84" s="12"/>
      <c r="AL84" s="13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K84" s="14"/>
      <c r="BL84" s="14"/>
    </row>
    <row r="85" ht="17.25" customHeight="1">
      <c r="A85" s="18" t="s">
        <v>79</v>
      </c>
      <c r="B85" s="18" t="s">
        <v>61</v>
      </c>
      <c r="C85" s="37">
        <v>2304.0</v>
      </c>
      <c r="D85" s="18" t="s">
        <v>57</v>
      </c>
      <c r="E85" s="49">
        <v>39.0</v>
      </c>
      <c r="F85" s="38">
        <v>11.887</v>
      </c>
      <c r="G85" s="39">
        <v>34.0</v>
      </c>
      <c r="H85" s="39">
        <v>0.0</v>
      </c>
      <c r="I85" s="39">
        <v>0.0</v>
      </c>
      <c r="J85" s="2"/>
      <c r="K85" s="39">
        <v>907.92</v>
      </c>
      <c r="L85" s="38" t="s">
        <v>58</v>
      </c>
      <c r="M85" s="38">
        <v>24.339</v>
      </c>
      <c r="N85" s="46"/>
      <c r="O85" s="46"/>
      <c r="P85" s="2"/>
      <c r="Q85" s="41" t="s">
        <v>68</v>
      </c>
      <c r="R85" s="44">
        <v>0.0</v>
      </c>
      <c r="S85" s="37">
        <v>0.0</v>
      </c>
      <c r="T85" s="16"/>
      <c r="U85" s="21"/>
      <c r="V85" s="2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42" t="e">
        <v>#DIV/0!</v>
      </c>
      <c r="AI85" s="17"/>
      <c r="AJ85" s="12"/>
      <c r="AK85" s="12"/>
      <c r="AL85" s="13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4"/>
      <c r="BK85" s="14"/>
      <c r="BL85" s="14"/>
    </row>
    <row r="86" ht="17.25" customHeight="1">
      <c r="A86" s="18" t="s">
        <v>79</v>
      </c>
      <c r="B86" s="18" t="s">
        <v>61</v>
      </c>
      <c r="C86" s="37">
        <v>2305.0</v>
      </c>
      <c r="D86" s="48" t="s">
        <v>57</v>
      </c>
      <c r="E86" s="37">
        <v>50.5</v>
      </c>
      <c r="F86" s="38">
        <v>10.607</v>
      </c>
      <c r="G86" s="49">
        <v>34.8</v>
      </c>
      <c r="H86" s="49">
        <v>0.0</v>
      </c>
      <c r="I86" s="49">
        <v>0.0</v>
      </c>
      <c r="J86" s="2"/>
      <c r="K86" s="49">
        <v>1165.1</v>
      </c>
      <c r="L86" s="38" t="s">
        <v>58</v>
      </c>
      <c r="M86" s="38">
        <v>14.07</v>
      </c>
      <c r="N86" s="40">
        <v>3.5</v>
      </c>
      <c r="O86" s="40">
        <v>3.3</v>
      </c>
      <c r="P86" s="47"/>
      <c r="Q86" s="41" t="s">
        <v>68</v>
      </c>
      <c r="R86" s="44">
        <v>0.0</v>
      </c>
      <c r="S86" s="37">
        <v>1.0</v>
      </c>
      <c r="T86" s="16"/>
      <c r="U86" s="21"/>
      <c r="V86" s="2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42" t="e">
        <v>#DIV/0!</v>
      </c>
      <c r="AI86" s="17"/>
      <c r="AJ86" s="12"/>
      <c r="AK86" s="12"/>
      <c r="AL86" s="13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4"/>
      <c r="BK86" s="14"/>
      <c r="BL86" s="14"/>
    </row>
    <row r="87" ht="17.25" customHeight="1">
      <c r="A87" s="18" t="s">
        <v>79</v>
      </c>
      <c r="B87" s="18" t="s">
        <v>61</v>
      </c>
      <c r="C87" s="37">
        <v>2306.0</v>
      </c>
      <c r="D87" s="18" t="s">
        <v>60</v>
      </c>
      <c r="E87" s="49">
        <v>71.0</v>
      </c>
      <c r="F87" s="38">
        <v>21.64</v>
      </c>
      <c r="G87" s="39">
        <v>33.8</v>
      </c>
      <c r="H87" s="39">
        <v>0.0</v>
      </c>
      <c r="I87" s="39">
        <v>0.0</v>
      </c>
      <c r="J87" s="2"/>
      <c r="K87" s="39">
        <v>897.27</v>
      </c>
      <c r="L87" s="38" t="s">
        <v>58</v>
      </c>
      <c r="M87" s="38">
        <v>14.06</v>
      </c>
      <c r="N87" s="40">
        <v>4.0</v>
      </c>
      <c r="O87" s="40">
        <v>3.55</v>
      </c>
      <c r="P87" s="40">
        <v>3.4</v>
      </c>
      <c r="Q87" s="41" t="s">
        <v>68</v>
      </c>
      <c r="R87" s="44">
        <v>1.0</v>
      </c>
      <c r="S87" s="37">
        <v>0.0</v>
      </c>
      <c r="T87" s="16"/>
      <c r="U87" s="21"/>
      <c r="V87" s="2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42" t="e">
        <v>#DIV/0!</v>
      </c>
      <c r="AI87" s="17"/>
      <c r="AJ87" s="12"/>
      <c r="AK87" s="12"/>
      <c r="AL87" s="13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4"/>
      <c r="BK87" s="14"/>
      <c r="BL87" s="14"/>
    </row>
    <row r="88" ht="17.25" customHeight="1">
      <c r="A88" s="18" t="s">
        <v>79</v>
      </c>
      <c r="B88" s="18" t="s">
        <v>61</v>
      </c>
      <c r="C88" s="37">
        <v>2307.0</v>
      </c>
      <c r="D88" s="18" t="s">
        <v>57</v>
      </c>
      <c r="E88" s="49">
        <v>81.4</v>
      </c>
      <c r="F88" s="38">
        <v>24.81</v>
      </c>
      <c r="G88" s="39">
        <v>44.5</v>
      </c>
      <c r="H88" s="39">
        <v>0.0</v>
      </c>
      <c r="I88" s="39">
        <v>0.0</v>
      </c>
      <c r="J88" s="2"/>
      <c r="K88" s="39">
        <v>1555.28</v>
      </c>
      <c r="L88" s="38" t="s">
        <v>58</v>
      </c>
      <c r="M88" s="38">
        <v>9.422</v>
      </c>
      <c r="N88" s="40">
        <v>3.4</v>
      </c>
      <c r="O88" s="40">
        <v>3.0</v>
      </c>
      <c r="P88" s="2"/>
      <c r="Q88" s="41" t="s">
        <v>68</v>
      </c>
      <c r="R88" s="44">
        <v>0.0</v>
      </c>
      <c r="S88" s="37">
        <v>0.0</v>
      </c>
      <c r="T88" s="16"/>
      <c r="U88" s="21"/>
      <c r="V88" s="2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42" t="e">
        <v>#DIV/0!</v>
      </c>
      <c r="AI88" s="17"/>
      <c r="AJ88" s="12"/>
      <c r="AK88" s="12"/>
      <c r="AL88" s="13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4"/>
      <c r="BK88" s="14"/>
      <c r="BL88" s="14"/>
    </row>
    <row r="89" ht="17.25" customHeight="1">
      <c r="A89" s="18" t="s">
        <v>79</v>
      </c>
      <c r="B89" s="18" t="s">
        <v>61</v>
      </c>
      <c r="C89" s="37">
        <v>2308.0</v>
      </c>
      <c r="D89" s="48" t="s">
        <v>57</v>
      </c>
      <c r="E89" s="49">
        <v>94.5</v>
      </c>
      <c r="F89" s="38">
        <v>29.595</v>
      </c>
      <c r="G89" s="39">
        <v>25.8</v>
      </c>
      <c r="H89" s="39">
        <v>0.0</v>
      </c>
      <c r="I89" s="39">
        <v>0.0</v>
      </c>
      <c r="J89" s="2"/>
      <c r="K89" s="39">
        <v>235.06</v>
      </c>
      <c r="L89" s="38" t="s">
        <v>58</v>
      </c>
      <c r="M89" s="38">
        <v>6.62</v>
      </c>
      <c r="N89" s="46"/>
      <c r="O89" s="46"/>
      <c r="P89" s="2"/>
      <c r="Q89" s="41" t="s">
        <v>68</v>
      </c>
      <c r="R89" s="44">
        <v>3.0</v>
      </c>
      <c r="S89" s="37">
        <v>0.0</v>
      </c>
      <c r="T89" s="16"/>
      <c r="U89" s="21"/>
      <c r="V89" s="2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42" t="e">
        <v>#DIV/0!</v>
      </c>
      <c r="AI89" s="17"/>
      <c r="AJ89" s="12"/>
      <c r="AK89" s="12"/>
      <c r="AL89" s="13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4"/>
      <c r="BK89" s="14"/>
      <c r="BL89" s="14"/>
    </row>
    <row r="90" ht="17.25" customHeight="1">
      <c r="A90" s="18" t="s">
        <v>79</v>
      </c>
      <c r="B90" s="18" t="s">
        <v>61</v>
      </c>
      <c r="C90" s="37">
        <v>2309.0</v>
      </c>
      <c r="D90" s="18" t="s">
        <v>57</v>
      </c>
      <c r="E90" s="49">
        <v>97.1</v>
      </c>
      <c r="F90" s="38">
        <v>29.595</v>
      </c>
      <c r="G90" s="39">
        <v>17.3</v>
      </c>
      <c r="H90" s="39">
        <v>0.0</v>
      </c>
      <c r="I90" s="39">
        <v>0.0</v>
      </c>
      <c r="J90" s="2"/>
      <c r="K90" s="39">
        <v>522.79</v>
      </c>
      <c r="L90" s="38" t="s">
        <v>58</v>
      </c>
      <c r="M90" s="38">
        <v>12.92</v>
      </c>
      <c r="N90" s="46"/>
      <c r="O90" s="46"/>
      <c r="P90" s="2"/>
      <c r="Q90" s="41" t="s">
        <v>68</v>
      </c>
      <c r="R90" s="44">
        <v>0.0</v>
      </c>
      <c r="S90" s="37">
        <v>0.0</v>
      </c>
      <c r="T90" s="37">
        <v>1.05</v>
      </c>
      <c r="U90" s="37">
        <v>1.21</v>
      </c>
      <c r="V90" s="37">
        <v>1.46</v>
      </c>
      <c r="W90" s="37">
        <v>1.92</v>
      </c>
      <c r="X90" s="37">
        <v>2.1</v>
      </c>
      <c r="Y90" s="21"/>
      <c r="Z90" s="21"/>
      <c r="AA90" s="21"/>
      <c r="AB90" s="12"/>
      <c r="AC90" s="12"/>
      <c r="AD90" s="12"/>
      <c r="AE90" s="12"/>
      <c r="AF90" s="12"/>
      <c r="AG90" s="12"/>
      <c r="AH90" s="42" t="e">
        <v>#DIV/0!</v>
      </c>
      <c r="AI90" s="20" t="s">
        <v>80</v>
      </c>
      <c r="AJ90" s="12"/>
      <c r="AK90" s="12"/>
      <c r="AL90" s="5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</row>
    <row r="91" ht="15.75" customHeight="1">
      <c r="A91" s="59" t="s">
        <v>81</v>
      </c>
      <c r="B91" s="60" t="s">
        <v>61</v>
      </c>
      <c r="C91" s="61">
        <v>2370.0</v>
      </c>
      <c r="D91" s="4"/>
      <c r="E91" s="12"/>
      <c r="F91" s="5"/>
      <c r="G91" s="37">
        <v>47.0</v>
      </c>
      <c r="H91" s="37">
        <v>0.0</v>
      </c>
      <c r="I91" s="37">
        <v>0.0</v>
      </c>
      <c r="J91" s="40">
        <v>0.6</v>
      </c>
      <c r="K91" s="62"/>
      <c r="L91" s="6"/>
      <c r="M91" s="4"/>
      <c r="N91" s="46"/>
      <c r="O91" s="46"/>
      <c r="P91" s="2"/>
      <c r="Q91" s="2"/>
      <c r="R91" s="44">
        <v>1.0</v>
      </c>
      <c r="S91" s="37">
        <v>0.0</v>
      </c>
      <c r="T91" s="16"/>
      <c r="U91" s="21"/>
      <c r="V91" s="2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0" t="s">
        <v>80</v>
      </c>
      <c r="AJ91" s="12"/>
      <c r="AK91" s="12"/>
      <c r="AL91" s="44">
        <v>1.562</v>
      </c>
      <c r="AM91" s="37">
        <v>1.388</v>
      </c>
      <c r="AN91" s="37">
        <v>1.401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18" t="s">
        <v>74</v>
      </c>
      <c r="BJ91" s="22"/>
      <c r="BK91" s="22"/>
      <c r="BL91" s="22" t="s">
        <v>74</v>
      </c>
    </row>
    <row r="92" ht="15.75" customHeight="1">
      <c r="A92" s="59" t="s">
        <v>82</v>
      </c>
      <c r="B92" s="60" t="s">
        <v>61</v>
      </c>
      <c r="C92" s="61">
        <v>2371.0</v>
      </c>
      <c r="D92" s="4"/>
      <c r="E92" s="12"/>
      <c r="F92" s="5"/>
      <c r="G92" s="37">
        <v>97.8</v>
      </c>
      <c r="H92" s="37">
        <v>0.0</v>
      </c>
      <c r="I92" s="37">
        <v>0.0</v>
      </c>
      <c r="J92" s="2"/>
      <c r="K92" s="62"/>
      <c r="L92" s="6"/>
      <c r="M92" s="4"/>
      <c r="N92" s="46"/>
      <c r="O92" s="46"/>
      <c r="P92" s="2"/>
      <c r="Q92" s="2"/>
      <c r="R92" s="44">
        <v>0.0</v>
      </c>
      <c r="S92" s="37">
        <v>0.0</v>
      </c>
      <c r="T92" s="37">
        <v>1.26</v>
      </c>
      <c r="U92" s="37">
        <v>2.2</v>
      </c>
      <c r="V92" s="37">
        <v>1.89</v>
      </c>
      <c r="W92" s="37">
        <v>1.09</v>
      </c>
      <c r="X92" s="37">
        <v>1.77</v>
      </c>
      <c r="Y92" s="21"/>
      <c r="Z92" s="21"/>
      <c r="AA92" s="21"/>
      <c r="AB92" s="12"/>
      <c r="AC92" s="12"/>
      <c r="AD92" s="12"/>
      <c r="AE92" s="12"/>
      <c r="AF92" s="12"/>
      <c r="AG92" s="12"/>
      <c r="AH92" s="12"/>
      <c r="AI92" s="20" t="s">
        <v>80</v>
      </c>
      <c r="AJ92" s="12"/>
      <c r="AK92" s="12"/>
      <c r="AL92" s="5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</row>
    <row r="93" ht="15.75" customHeight="1">
      <c r="A93" s="59" t="s">
        <v>83</v>
      </c>
      <c r="B93" s="60" t="s">
        <v>61</v>
      </c>
      <c r="C93" s="61">
        <v>2372.0</v>
      </c>
      <c r="D93" s="4"/>
      <c r="E93" s="12"/>
      <c r="F93" s="5"/>
      <c r="G93" s="37">
        <v>47.0</v>
      </c>
      <c r="H93" s="37">
        <v>0.0</v>
      </c>
      <c r="I93" s="37">
        <v>0.0</v>
      </c>
      <c r="J93" s="2"/>
      <c r="K93" s="62"/>
      <c r="L93" s="6"/>
      <c r="M93" s="4"/>
      <c r="N93" s="46"/>
      <c r="O93" s="46"/>
      <c r="P93" s="2"/>
      <c r="Q93" s="2"/>
      <c r="R93" s="44">
        <v>1.0</v>
      </c>
      <c r="S93" s="37">
        <v>0.0</v>
      </c>
      <c r="T93" s="37">
        <v>1.31</v>
      </c>
      <c r="U93" s="37">
        <v>1.37</v>
      </c>
      <c r="V93" s="37">
        <v>1.57</v>
      </c>
      <c r="W93" s="37">
        <v>1.18</v>
      </c>
      <c r="X93" s="37">
        <v>1.08</v>
      </c>
      <c r="Y93" s="21"/>
      <c r="Z93" s="21"/>
      <c r="AA93" s="21"/>
      <c r="AB93" s="12"/>
      <c r="AC93" s="12"/>
      <c r="AD93" s="12"/>
      <c r="AE93" s="12"/>
      <c r="AF93" s="12"/>
      <c r="AG93" s="12"/>
      <c r="AH93" s="12"/>
      <c r="AI93" s="20" t="s">
        <v>84</v>
      </c>
      <c r="AJ93" s="12"/>
      <c r="AK93" s="12"/>
      <c r="AL93" s="5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</row>
    <row r="94" ht="15.75" customHeight="1">
      <c r="A94" s="59" t="s">
        <v>85</v>
      </c>
      <c r="B94" s="60" t="s">
        <v>61</v>
      </c>
      <c r="C94" s="61">
        <v>2373.0</v>
      </c>
      <c r="D94" s="4"/>
      <c r="E94" s="12"/>
      <c r="F94" s="5"/>
      <c r="G94" s="37">
        <v>46.8</v>
      </c>
      <c r="H94" s="37">
        <v>0.0</v>
      </c>
      <c r="I94" s="37">
        <v>0.0</v>
      </c>
      <c r="J94" s="2"/>
      <c r="K94" s="62"/>
      <c r="L94" s="6"/>
      <c r="M94" s="4"/>
      <c r="N94" s="46"/>
      <c r="O94" s="46"/>
      <c r="P94" s="2"/>
      <c r="Q94" s="2"/>
      <c r="R94" s="44">
        <v>0.0</v>
      </c>
      <c r="S94" s="37">
        <v>1.0</v>
      </c>
      <c r="T94" s="37">
        <v>1.24</v>
      </c>
      <c r="U94" s="37">
        <v>1.35</v>
      </c>
      <c r="V94" s="37">
        <v>1.46</v>
      </c>
      <c r="W94" s="37">
        <v>1.56</v>
      </c>
      <c r="X94" s="37">
        <v>1.25</v>
      </c>
      <c r="Y94" s="37">
        <v>1.0</v>
      </c>
      <c r="Z94" s="21"/>
      <c r="AA94" s="21"/>
      <c r="AB94" s="21"/>
      <c r="AC94" s="12"/>
      <c r="AD94" s="12"/>
      <c r="AE94" s="12"/>
      <c r="AF94" s="12"/>
      <c r="AG94" s="12"/>
      <c r="AH94" s="12"/>
      <c r="AI94" s="20" t="s">
        <v>86</v>
      </c>
      <c r="AJ94" s="12"/>
      <c r="AK94" s="12"/>
      <c r="AL94" s="5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</row>
    <row r="95" ht="15.75" customHeight="1">
      <c r="A95" s="59" t="s">
        <v>87</v>
      </c>
      <c r="B95" s="60" t="s">
        <v>61</v>
      </c>
      <c r="C95" s="4"/>
      <c r="D95" s="60" t="s">
        <v>60</v>
      </c>
      <c r="E95" s="37">
        <v>1.641</v>
      </c>
      <c r="F95" s="39">
        <v>0.5</v>
      </c>
      <c r="G95" s="37">
        <v>55.1</v>
      </c>
      <c r="H95" s="37">
        <v>0.0</v>
      </c>
      <c r="I95" s="37">
        <v>0.0</v>
      </c>
      <c r="J95" s="2"/>
      <c r="K95" s="37">
        <v>637.94</v>
      </c>
      <c r="L95" s="38">
        <v>61.9</v>
      </c>
      <c r="M95" s="38">
        <v>11.28</v>
      </c>
      <c r="N95" s="46"/>
      <c r="O95" s="46"/>
      <c r="P95" s="2"/>
      <c r="Q95" s="2"/>
      <c r="R95" s="15"/>
      <c r="S95" s="16"/>
      <c r="T95" s="16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42" t="e">
        <v>#DIV/0!</v>
      </c>
      <c r="AI95" s="17"/>
      <c r="AJ95" s="12"/>
      <c r="AK95" s="12"/>
      <c r="AL95" s="13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4"/>
      <c r="BK95" s="14"/>
      <c r="BL95" s="14"/>
    </row>
    <row r="96" ht="15.75" customHeight="1">
      <c r="A96" s="59" t="s">
        <v>87</v>
      </c>
      <c r="B96" s="60" t="s">
        <v>61</v>
      </c>
      <c r="C96" s="4"/>
      <c r="D96" s="60" t="s">
        <v>60</v>
      </c>
      <c r="E96" s="37">
        <v>91.87</v>
      </c>
      <c r="F96" s="39">
        <v>28.0</v>
      </c>
      <c r="G96" s="37">
        <v>17.6</v>
      </c>
      <c r="H96" s="37">
        <v>0.0</v>
      </c>
      <c r="I96" s="37">
        <v>0.0</v>
      </c>
      <c r="J96" s="2"/>
      <c r="K96" s="37">
        <v>2384.48</v>
      </c>
      <c r="L96" s="38">
        <v>72.0</v>
      </c>
      <c r="M96" s="38">
        <v>11.2</v>
      </c>
      <c r="N96" s="46"/>
      <c r="O96" s="46"/>
      <c r="P96" s="2"/>
      <c r="Q96" s="2"/>
      <c r="R96" s="15"/>
      <c r="S96" s="16"/>
      <c r="T96" s="16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42" t="e">
        <v>#DIV/0!</v>
      </c>
      <c r="AI96" s="17"/>
      <c r="AJ96" s="12"/>
      <c r="AK96" s="12"/>
      <c r="AL96" s="13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4"/>
      <c r="BK96" s="14"/>
      <c r="BL96" s="14"/>
    </row>
    <row r="97" ht="15.75" customHeight="1">
      <c r="A97" s="59" t="s">
        <v>87</v>
      </c>
      <c r="B97" s="60" t="s">
        <v>61</v>
      </c>
      <c r="C97" s="4"/>
      <c r="D97" s="60" t="s">
        <v>57</v>
      </c>
      <c r="E97" s="37">
        <v>98.43</v>
      </c>
      <c r="F97" s="39">
        <v>30.0</v>
      </c>
      <c r="G97" s="37">
        <v>15.2</v>
      </c>
      <c r="H97" s="37">
        <v>0.0</v>
      </c>
      <c r="I97" s="37">
        <v>0.0</v>
      </c>
      <c r="J97" s="2"/>
      <c r="K97" s="37">
        <v>611.36</v>
      </c>
      <c r="L97" s="38" t="s">
        <v>58</v>
      </c>
      <c r="M97" s="38">
        <v>12.8</v>
      </c>
      <c r="N97" s="46"/>
      <c r="O97" s="46"/>
      <c r="P97" s="2"/>
      <c r="Q97" s="2"/>
      <c r="R97" s="15"/>
      <c r="S97" s="16"/>
      <c r="T97" s="16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42" t="e">
        <v>#DIV/0!</v>
      </c>
      <c r="AI97" s="17"/>
      <c r="AJ97" s="12"/>
      <c r="AK97" s="12"/>
      <c r="AL97" s="13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4"/>
      <c r="BK97" s="14"/>
      <c r="BL97" s="14"/>
    </row>
    <row r="98" ht="15.75" customHeight="1">
      <c r="A98" s="59" t="s">
        <v>87</v>
      </c>
      <c r="B98" s="60" t="s">
        <v>61</v>
      </c>
      <c r="C98" s="4"/>
      <c r="D98" s="60" t="s">
        <v>60</v>
      </c>
      <c r="E98" s="37">
        <v>118.1</v>
      </c>
      <c r="F98" s="39">
        <v>36.0</v>
      </c>
      <c r="G98" s="37">
        <v>27.9</v>
      </c>
      <c r="H98" s="37">
        <v>0.0</v>
      </c>
      <c r="I98" s="37">
        <v>0.0</v>
      </c>
      <c r="J98" s="2"/>
      <c r="K98" s="37">
        <v>181.46</v>
      </c>
      <c r="L98" s="38">
        <v>21.5</v>
      </c>
      <c r="M98" s="38">
        <v>7.5</v>
      </c>
      <c r="N98" s="46"/>
      <c r="O98" s="46"/>
      <c r="P98" s="2"/>
      <c r="Q98" s="2"/>
      <c r="R98" s="15"/>
      <c r="S98" s="16"/>
      <c r="T98" s="16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42" t="e">
        <v>#DIV/0!</v>
      </c>
      <c r="AI98" s="17"/>
      <c r="AJ98" s="12"/>
      <c r="AK98" s="12"/>
      <c r="AL98" s="13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4"/>
      <c r="BK98" s="14"/>
      <c r="BL98" s="14"/>
    </row>
    <row r="99" ht="15.75" customHeight="1">
      <c r="A99" s="59" t="s">
        <v>87</v>
      </c>
      <c r="B99" s="60" t="s">
        <v>61</v>
      </c>
      <c r="C99" s="4"/>
      <c r="D99" s="60" t="s">
        <v>57</v>
      </c>
      <c r="E99" s="37">
        <v>134.5</v>
      </c>
      <c r="F99" s="39">
        <v>41.0</v>
      </c>
      <c r="G99" s="37">
        <v>28.5</v>
      </c>
      <c r="H99" s="37">
        <v>0.0</v>
      </c>
      <c r="I99" s="37">
        <v>0.0</v>
      </c>
      <c r="J99" s="2"/>
      <c r="K99" s="37">
        <v>243.28</v>
      </c>
      <c r="L99" s="38">
        <v>18.3</v>
      </c>
      <c r="M99" s="38">
        <v>4.6</v>
      </c>
      <c r="N99" s="46"/>
      <c r="O99" s="46"/>
      <c r="P99" s="2"/>
      <c r="Q99" s="2"/>
      <c r="R99" s="15"/>
      <c r="S99" s="16"/>
      <c r="T99" s="16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42" t="e">
        <v>#DIV/0!</v>
      </c>
      <c r="AI99" s="17"/>
      <c r="AJ99" s="12"/>
      <c r="AK99" s="12"/>
      <c r="AL99" s="13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4"/>
      <c r="BK99" s="14"/>
      <c r="BL99" s="14"/>
    </row>
    <row r="100" ht="15.75" customHeight="1">
      <c r="A100" s="59" t="s">
        <v>88</v>
      </c>
      <c r="B100" s="60" t="s">
        <v>61</v>
      </c>
      <c r="C100" s="4"/>
      <c r="D100" s="60" t="s">
        <v>60</v>
      </c>
      <c r="E100" s="37">
        <v>4.922</v>
      </c>
      <c r="F100" s="39">
        <v>1.5</v>
      </c>
      <c r="G100" s="37">
        <v>58.0</v>
      </c>
      <c r="H100" s="37">
        <v>0.0</v>
      </c>
      <c r="I100" s="37">
        <v>0.0</v>
      </c>
      <c r="J100" s="2"/>
      <c r="K100" s="37">
        <v>891.97</v>
      </c>
      <c r="L100" s="38">
        <v>42.0</v>
      </c>
      <c r="M100" s="38">
        <v>5.9</v>
      </c>
      <c r="N100" s="46"/>
      <c r="O100" s="46"/>
      <c r="P100" s="2"/>
      <c r="Q100" s="2"/>
      <c r="R100" s="15"/>
      <c r="S100" s="16"/>
      <c r="T100" s="16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42" t="e">
        <v>#DIV/0!</v>
      </c>
      <c r="AI100" s="17"/>
      <c r="AJ100" s="12"/>
      <c r="AK100" s="12"/>
      <c r="AL100" s="13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4"/>
      <c r="BK100" s="14"/>
      <c r="BL100" s="14"/>
    </row>
    <row r="101" ht="15.75" customHeight="1">
      <c r="A101" s="59" t="s">
        <v>88</v>
      </c>
      <c r="B101" s="60" t="s">
        <v>61</v>
      </c>
      <c r="C101" s="4"/>
      <c r="D101" s="60" t="s">
        <v>57</v>
      </c>
      <c r="E101" s="37">
        <v>21.33</v>
      </c>
      <c r="F101" s="39">
        <v>6.5</v>
      </c>
      <c r="G101" s="37">
        <v>36.0</v>
      </c>
      <c r="H101" s="37">
        <v>0.0</v>
      </c>
      <c r="I101" s="37">
        <v>0.0</v>
      </c>
      <c r="J101" s="2"/>
      <c r="K101" s="37">
        <v>907.92</v>
      </c>
      <c r="L101" s="38">
        <v>39.0</v>
      </c>
      <c r="M101" s="38">
        <v>7.1</v>
      </c>
      <c r="N101" s="46"/>
      <c r="O101" s="46"/>
      <c r="P101" s="2"/>
      <c r="Q101" s="2"/>
      <c r="R101" s="15"/>
      <c r="S101" s="16"/>
      <c r="T101" s="16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42" t="e">
        <v>#DIV/0!</v>
      </c>
      <c r="AI101" s="17"/>
      <c r="AJ101" s="12"/>
      <c r="AK101" s="12"/>
      <c r="AL101" s="13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4"/>
      <c r="BK101" s="14"/>
      <c r="BL101" s="14"/>
    </row>
    <row r="102" ht="15.75" customHeight="1">
      <c r="A102" s="59" t="s">
        <v>88</v>
      </c>
      <c r="B102" s="60" t="s">
        <v>61</v>
      </c>
      <c r="C102" s="4"/>
      <c r="D102" s="60" t="s">
        <v>60</v>
      </c>
      <c r="E102" s="37">
        <v>105.0</v>
      </c>
      <c r="F102" s="39">
        <v>32.0</v>
      </c>
      <c r="G102" s="37">
        <v>70.2</v>
      </c>
      <c r="H102" s="37">
        <v>0.0</v>
      </c>
      <c r="I102" s="37">
        <v>0.0</v>
      </c>
      <c r="J102" s="2"/>
      <c r="K102" s="37">
        <v>3870.47</v>
      </c>
      <c r="L102" s="38">
        <v>88.0</v>
      </c>
      <c r="M102" s="38">
        <v>18.0</v>
      </c>
      <c r="N102" s="46"/>
      <c r="O102" s="46"/>
      <c r="P102" s="2"/>
      <c r="Q102" s="2"/>
      <c r="R102" s="15"/>
      <c r="S102" s="16"/>
      <c r="T102" s="16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42" t="e">
        <v>#DIV/0!</v>
      </c>
      <c r="AI102" s="17"/>
      <c r="AJ102" s="12"/>
      <c r="AK102" s="12"/>
      <c r="AL102" s="13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4"/>
      <c r="BK102" s="14"/>
      <c r="BL102" s="14"/>
    </row>
    <row r="103" ht="15.75" customHeight="1">
      <c r="A103" s="59" t="s">
        <v>88</v>
      </c>
      <c r="B103" s="60" t="s">
        <v>61</v>
      </c>
      <c r="C103" s="4"/>
      <c r="D103" s="60" t="s">
        <v>60</v>
      </c>
      <c r="E103" s="37">
        <v>113.2</v>
      </c>
      <c r="F103" s="39">
        <v>34.5</v>
      </c>
      <c r="G103" s="37">
        <v>34.0</v>
      </c>
      <c r="H103" s="37">
        <v>0.0</v>
      </c>
      <c r="I103" s="37">
        <v>0.0</v>
      </c>
      <c r="J103" s="2"/>
      <c r="K103" s="37">
        <v>1017.88</v>
      </c>
      <c r="L103" s="38">
        <v>52.2</v>
      </c>
      <c r="M103" s="38">
        <v>7.8</v>
      </c>
      <c r="N103" s="46"/>
      <c r="O103" s="46"/>
      <c r="P103" s="2"/>
      <c r="Q103" s="2"/>
      <c r="R103" s="15"/>
      <c r="S103" s="16"/>
      <c r="T103" s="16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42" t="e">
        <v>#DIV/0!</v>
      </c>
      <c r="AI103" s="17"/>
      <c r="AJ103" s="12"/>
      <c r="AK103" s="12"/>
      <c r="AL103" s="13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4"/>
      <c r="BK103" s="14"/>
      <c r="BL103" s="14"/>
    </row>
    <row r="104" ht="15.75" customHeight="1">
      <c r="A104" s="59" t="s">
        <v>88</v>
      </c>
      <c r="B104" s="60" t="s">
        <v>61</v>
      </c>
      <c r="C104" s="4"/>
      <c r="D104" s="60" t="s">
        <v>60</v>
      </c>
      <c r="E104" s="37">
        <v>203.4</v>
      </c>
      <c r="F104" s="39">
        <v>62.0</v>
      </c>
      <c r="G104" s="37">
        <v>33.7</v>
      </c>
      <c r="H104" s="37">
        <v>0.0</v>
      </c>
      <c r="I104" s="37">
        <v>0.0</v>
      </c>
      <c r="J104" s="2"/>
      <c r="K104" s="37">
        <v>2642.08</v>
      </c>
      <c r="L104" s="38">
        <v>70.0</v>
      </c>
      <c r="M104" s="38">
        <v>17.0</v>
      </c>
      <c r="N104" s="46"/>
      <c r="O104" s="46"/>
      <c r="P104" s="2"/>
      <c r="Q104" s="2"/>
      <c r="R104" s="15"/>
      <c r="S104" s="16"/>
      <c r="T104" s="16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42" t="e">
        <v>#DIV/0!</v>
      </c>
      <c r="AI104" s="17"/>
      <c r="AJ104" s="12"/>
      <c r="AK104" s="12"/>
      <c r="AL104" s="13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K104" s="14"/>
      <c r="BL104" s="14"/>
    </row>
    <row r="105" ht="15.75" customHeight="1">
      <c r="A105" s="18" t="s">
        <v>89</v>
      </c>
      <c r="B105" s="18" t="s">
        <v>56</v>
      </c>
      <c r="C105" s="12"/>
      <c r="D105" s="18" t="s">
        <v>90</v>
      </c>
      <c r="E105" s="49">
        <v>1.0</v>
      </c>
      <c r="F105" s="59" t="s">
        <v>90</v>
      </c>
      <c r="G105" s="39">
        <v>51.3</v>
      </c>
      <c r="H105" s="39">
        <v>32.0</v>
      </c>
      <c r="I105" s="39">
        <v>0.0</v>
      </c>
      <c r="J105" s="2"/>
      <c r="K105" s="37">
        <v>2871.172212</v>
      </c>
      <c r="L105" s="38" t="s">
        <v>58</v>
      </c>
      <c r="M105" s="38">
        <v>12.64</v>
      </c>
      <c r="N105" s="46"/>
      <c r="O105" s="46"/>
      <c r="P105" s="2"/>
      <c r="Q105" s="2"/>
      <c r="R105" s="15"/>
      <c r="S105" s="16"/>
      <c r="T105" s="16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2" t="e">
        <v>#DIV/0!</v>
      </c>
      <c r="AI105" s="17"/>
      <c r="AJ105" s="12"/>
      <c r="AK105" s="12"/>
      <c r="AL105" s="13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K105" s="14"/>
      <c r="BL105" s="14"/>
    </row>
    <row r="106" ht="15.75" customHeight="1">
      <c r="A106" s="18" t="s">
        <v>89</v>
      </c>
      <c r="B106" s="18" t="s">
        <v>56</v>
      </c>
      <c r="C106" s="12"/>
      <c r="D106" s="18" t="s">
        <v>90</v>
      </c>
      <c r="E106" s="49">
        <v>2.0</v>
      </c>
      <c r="F106" s="59" t="s">
        <v>90</v>
      </c>
      <c r="G106" s="39">
        <v>77.9</v>
      </c>
      <c r="H106" s="39">
        <v>0.0</v>
      </c>
      <c r="I106" s="39">
        <v>0.0</v>
      </c>
      <c r="J106" s="2"/>
      <c r="K106" s="37">
        <v>4766.118069</v>
      </c>
      <c r="L106" s="38" t="s">
        <v>58</v>
      </c>
      <c r="M106" s="38">
        <v>8.31</v>
      </c>
      <c r="N106" s="46"/>
      <c r="O106" s="46"/>
      <c r="P106" s="47"/>
      <c r="Q106" s="2"/>
      <c r="R106" s="15"/>
      <c r="S106" s="16"/>
      <c r="T106" s="16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2" t="e">
        <v>#DIV/0!</v>
      </c>
      <c r="AI106" s="17"/>
      <c r="AJ106" s="12"/>
      <c r="AK106" s="12"/>
      <c r="AL106" s="13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K106" s="14"/>
      <c r="BL106" s="14"/>
    </row>
    <row r="107" ht="15.75" customHeight="1">
      <c r="A107" s="59" t="s">
        <v>91</v>
      </c>
      <c r="B107" s="60" t="s">
        <v>61</v>
      </c>
      <c r="C107" s="61">
        <v>2381.0</v>
      </c>
      <c r="D107" s="60" t="s">
        <v>90</v>
      </c>
      <c r="E107" s="3"/>
      <c r="F107" s="4"/>
      <c r="G107" s="37">
        <v>36.6</v>
      </c>
      <c r="H107" s="39">
        <v>32.3</v>
      </c>
      <c r="I107" s="39">
        <v>31.8</v>
      </c>
      <c r="J107" s="2"/>
      <c r="K107" s="62"/>
      <c r="L107" s="6"/>
      <c r="M107" s="4"/>
      <c r="N107" s="40">
        <v>3.8</v>
      </c>
      <c r="O107" s="46"/>
      <c r="P107" s="2"/>
      <c r="Q107" s="2"/>
      <c r="R107" s="44">
        <v>0.0</v>
      </c>
      <c r="S107" s="37">
        <v>3.0</v>
      </c>
      <c r="T107" s="16"/>
      <c r="U107" s="21"/>
      <c r="V107" s="2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2" t="e">
        <v>#DIV/0!</v>
      </c>
      <c r="AI107" s="20" t="s">
        <v>92</v>
      </c>
      <c r="AJ107" s="12"/>
      <c r="AK107" s="12"/>
      <c r="AL107" s="44">
        <v>1.316</v>
      </c>
      <c r="AM107" s="37">
        <v>1.334</v>
      </c>
      <c r="AN107" s="21"/>
      <c r="AO107" s="21"/>
      <c r="AP107" s="21"/>
      <c r="AQ107" s="21"/>
      <c r="AR107" s="21"/>
      <c r="AS107" s="37">
        <v>1.856</v>
      </c>
      <c r="AT107" s="37">
        <v>0.1124</v>
      </c>
      <c r="AU107" s="37">
        <v>1.829</v>
      </c>
      <c r="AV107" s="37">
        <v>0.0657</v>
      </c>
      <c r="AW107" s="37">
        <v>1.818</v>
      </c>
      <c r="AX107" s="37">
        <v>0.1414</v>
      </c>
      <c r="AY107" s="21"/>
      <c r="AZ107" s="21"/>
      <c r="BA107" s="21"/>
      <c r="BB107" s="21"/>
      <c r="BC107" s="21"/>
      <c r="BD107" s="21"/>
      <c r="BE107" s="21"/>
      <c r="BF107" s="21"/>
      <c r="BG107" s="21"/>
      <c r="BH107" s="37">
        <v>0.7962</v>
      </c>
      <c r="BI107" s="21"/>
      <c r="BJ107" s="22"/>
      <c r="BK107" s="22">
        <v>0.7962</v>
      </c>
      <c r="BL107" s="22"/>
    </row>
    <row r="108" ht="15.75" customHeight="1">
      <c r="A108" s="59" t="s">
        <v>91</v>
      </c>
      <c r="B108" s="60" t="s">
        <v>61</v>
      </c>
      <c r="C108" s="63"/>
      <c r="D108" s="60" t="s">
        <v>90</v>
      </c>
      <c r="E108" s="3"/>
      <c r="F108" s="4"/>
      <c r="G108" s="39">
        <v>52.1</v>
      </c>
      <c r="H108" s="5"/>
      <c r="I108" s="5"/>
      <c r="J108" s="2"/>
      <c r="K108" s="5"/>
      <c r="L108" s="6"/>
      <c r="M108" s="4"/>
      <c r="N108" s="40">
        <v>3.95</v>
      </c>
      <c r="O108" s="46"/>
      <c r="P108" s="2"/>
      <c r="Q108" s="2"/>
      <c r="R108" s="15"/>
      <c r="S108" s="16"/>
      <c r="T108" s="1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42" t="e">
        <v>#DIV/0!</v>
      </c>
      <c r="AI108" s="17"/>
      <c r="AJ108" s="12"/>
      <c r="AK108" s="12"/>
      <c r="AL108" s="13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4"/>
      <c r="BK108" s="14"/>
      <c r="BL108" s="14"/>
    </row>
    <row r="109" ht="15.75" customHeight="1">
      <c r="A109" s="59" t="s">
        <v>91</v>
      </c>
      <c r="B109" s="60" t="s">
        <v>61</v>
      </c>
      <c r="C109" s="63"/>
      <c r="D109" s="60" t="s">
        <v>90</v>
      </c>
      <c r="E109" s="3"/>
      <c r="F109" s="4"/>
      <c r="G109" s="39">
        <v>23.7</v>
      </c>
      <c r="H109" s="5"/>
      <c r="I109" s="5"/>
      <c r="J109" s="2"/>
      <c r="K109" s="5"/>
      <c r="L109" s="6"/>
      <c r="M109" s="4"/>
      <c r="N109" s="40">
        <v>4.27</v>
      </c>
      <c r="O109" s="46"/>
      <c r="P109" s="2"/>
      <c r="Q109" s="2"/>
      <c r="R109" s="15"/>
      <c r="S109" s="16"/>
      <c r="T109" s="1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42" t="e">
        <v>#DIV/0!</v>
      </c>
      <c r="AI109" s="17"/>
      <c r="AJ109" s="12"/>
      <c r="AK109" s="12"/>
      <c r="AL109" s="13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4"/>
      <c r="BK109" s="14"/>
      <c r="BL109" s="14"/>
    </row>
    <row r="110" ht="15.75" customHeight="1">
      <c r="A110" s="59" t="s">
        <v>91</v>
      </c>
      <c r="B110" s="60" t="s">
        <v>61</v>
      </c>
      <c r="C110" s="61">
        <v>2382.0</v>
      </c>
      <c r="D110" s="60" t="s">
        <v>90</v>
      </c>
      <c r="E110" s="3"/>
      <c r="F110" s="4"/>
      <c r="G110" s="39">
        <v>58.5</v>
      </c>
      <c r="H110" s="5"/>
      <c r="I110" s="5"/>
      <c r="J110" s="2"/>
      <c r="K110" s="5"/>
      <c r="L110" s="6"/>
      <c r="M110" s="4"/>
      <c r="N110" s="40">
        <v>3.4</v>
      </c>
      <c r="O110" s="46"/>
      <c r="P110" s="2"/>
      <c r="Q110" s="2"/>
      <c r="R110" s="44">
        <v>0.0</v>
      </c>
      <c r="S110" s="37">
        <v>6.0</v>
      </c>
      <c r="T110" s="16"/>
      <c r="U110" s="21"/>
      <c r="V110" s="2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2" t="e">
        <v>#DIV/0!</v>
      </c>
      <c r="AI110" s="20" t="s">
        <v>93</v>
      </c>
      <c r="AJ110" s="12"/>
      <c r="AK110" s="12"/>
      <c r="AL110" s="44">
        <v>0.798</v>
      </c>
      <c r="AM110" s="37">
        <v>0.791</v>
      </c>
      <c r="AN110" s="37">
        <v>0.821</v>
      </c>
      <c r="AO110" s="21"/>
      <c r="AP110" s="21"/>
      <c r="AQ110" s="21"/>
      <c r="AR110" s="21"/>
      <c r="AS110" s="37">
        <v>2.006</v>
      </c>
      <c r="AT110" s="37">
        <v>0.238</v>
      </c>
      <c r="AU110" s="37">
        <v>2.23</v>
      </c>
      <c r="AV110" s="37">
        <v>0.1203</v>
      </c>
      <c r="AW110" s="37">
        <v>1.967</v>
      </c>
      <c r="AX110" s="37">
        <v>0.1832</v>
      </c>
      <c r="AY110" s="37">
        <v>2.096</v>
      </c>
      <c r="AZ110" s="37">
        <v>0.1672</v>
      </c>
      <c r="BA110" s="21"/>
      <c r="BB110" s="21"/>
      <c r="BC110" s="21"/>
      <c r="BD110" s="21"/>
      <c r="BE110" s="21"/>
      <c r="BF110" s="21"/>
      <c r="BG110" s="21"/>
      <c r="BH110" s="37">
        <v>0.8632</v>
      </c>
      <c r="BI110" s="18" t="s">
        <v>94</v>
      </c>
      <c r="BJ110" s="22"/>
      <c r="BK110" s="22">
        <v>0.8632</v>
      </c>
      <c r="BL110" s="22" t="s">
        <v>94</v>
      </c>
    </row>
    <row r="111" ht="15.75" customHeight="1">
      <c r="A111" s="18" t="s">
        <v>91</v>
      </c>
      <c r="B111" s="60" t="s">
        <v>61</v>
      </c>
      <c r="C111" s="64">
        <v>2383.0</v>
      </c>
      <c r="D111" s="41" t="s">
        <v>90</v>
      </c>
      <c r="E111" s="2"/>
      <c r="F111" s="3"/>
      <c r="G111" s="40">
        <v>42.7</v>
      </c>
      <c r="H111" s="2"/>
      <c r="I111" s="2"/>
      <c r="J111" s="5"/>
      <c r="K111" s="5"/>
      <c r="L111" s="5"/>
      <c r="M111" s="6"/>
      <c r="N111" s="7"/>
      <c r="O111" s="46"/>
      <c r="P111" s="46"/>
      <c r="Q111" s="2"/>
      <c r="R111" s="44">
        <v>0.0</v>
      </c>
      <c r="S111" s="37">
        <v>7.0</v>
      </c>
      <c r="T111" s="16"/>
      <c r="U111" s="21"/>
      <c r="V111" s="2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7"/>
      <c r="AJ111" s="12"/>
      <c r="AK111" s="12"/>
      <c r="AL111" s="13"/>
      <c r="AM111" s="12"/>
      <c r="AN111" s="12"/>
      <c r="AO111" s="12"/>
      <c r="AP111" s="12"/>
      <c r="AQ111" s="12"/>
      <c r="AR111" s="12"/>
      <c r="AS111" s="37">
        <v>2.48</v>
      </c>
      <c r="AT111" s="37">
        <v>0.1117</v>
      </c>
      <c r="AU111" s="37">
        <v>2.16</v>
      </c>
      <c r="AV111" s="37">
        <v>0.101</v>
      </c>
      <c r="AW111" s="37">
        <v>2.441</v>
      </c>
      <c r="AX111" s="37">
        <v>0.089</v>
      </c>
      <c r="AY111" s="21"/>
      <c r="AZ111" s="21"/>
      <c r="BA111" s="21"/>
      <c r="BB111" s="12"/>
      <c r="BC111" s="12"/>
      <c r="BD111" s="12"/>
      <c r="BE111" s="12"/>
      <c r="BF111" s="12"/>
      <c r="BG111" s="12"/>
      <c r="BH111" s="37">
        <v>0.5538</v>
      </c>
      <c r="BI111" s="12"/>
      <c r="BJ111" s="14"/>
      <c r="BK111" s="22">
        <v>0.5538</v>
      </c>
      <c r="BL111" s="14"/>
    </row>
    <row r="112" ht="15.75" customHeight="1">
      <c r="A112" s="18" t="s">
        <v>91</v>
      </c>
      <c r="B112" s="60" t="s">
        <v>61</v>
      </c>
      <c r="C112" s="40">
        <v>2384.0</v>
      </c>
      <c r="D112" s="2"/>
      <c r="E112" s="2"/>
      <c r="F112" s="3"/>
      <c r="G112" s="2"/>
      <c r="H112" s="2"/>
      <c r="I112" s="2"/>
      <c r="J112" s="5"/>
      <c r="K112" s="5"/>
      <c r="L112" s="5"/>
      <c r="M112" s="6"/>
      <c r="N112" s="7"/>
      <c r="O112" s="46"/>
      <c r="P112" s="46"/>
      <c r="Q112" s="2"/>
      <c r="R112" s="15"/>
      <c r="S112" s="16"/>
      <c r="T112" s="1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7"/>
      <c r="AJ112" s="12"/>
      <c r="AK112" s="12"/>
      <c r="AL112" s="44">
        <v>1.409</v>
      </c>
      <c r="AM112" s="37">
        <v>1.49</v>
      </c>
      <c r="AN112" s="12"/>
      <c r="AO112" s="21"/>
      <c r="AP112" s="21"/>
      <c r="AQ112" s="12"/>
      <c r="AR112" s="12"/>
      <c r="AS112" s="37">
        <v>2.197</v>
      </c>
      <c r="AT112" s="37">
        <v>0.0337</v>
      </c>
      <c r="AU112" s="37">
        <v>2.23</v>
      </c>
      <c r="AV112" s="37">
        <v>0.0482</v>
      </c>
      <c r="AW112" s="37">
        <v>2.16</v>
      </c>
      <c r="AX112" s="37">
        <v>0.0637</v>
      </c>
      <c r="AY112" s="21"/>
      <c r="AZ112" s="21"/>
      <c r="BA112" s="21"/>
      <c r="BB112" s="12"/>
      <c r="BC112" s="12"/>
      <c r="BD112" s="12"/>
      <c r="BE112" s="12"/>
      <c r="BF112" s="12"/>
      <c r="BG112" s="12"/>
      <c r="BH112" s="37">
        <v>0.2961</v>
      </c>
      <c r="BI112" s="12"/>
      <c r="BJ112" s="14"/>
      <c r="BK112" s="22">
        <v>0.2961</v>
      </c>
      <c r="BL112" s="14"/>
    </row>
    <row r="113" ht="15.75" customHeight="1">
      <c r="A113" s="41" t="s">
        <v>89</v>
      </c>
      <c r="B113" s="60" t="s">
        <v>95</v>
      </c>
      <c r="C113" s="41" t="s">
        <v>96</v>
      </c>
      <c r="D113" s="2"/>
      <c r="E113" s="2"/>
      <c r="F113" s="3"/>
      <c r="G113" s="2"/>
      <c r="H113" s="2"/>
      <c r="I113" s="2"/>
      <c r="J113" s="5"/>
      <c r="K113" s="5"/>
      <c r="L113" s="5"/>
      <c r="M113" s="6"/>
      <c r="N113" s="7"/>
      <c r="O113" s="2"/>
      <c r="P113" s="2"/>
      <c r="Q113" s="2"/>
      <c r="R113" s="15"/>
      <c r="S113" s="16"/>
      <c r="T113" s="1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7"/>
      <c r="AJ113" s="12"/>
      <c r="AK113" s="12"/>
      <c r="AL113" s="13"/>
      <c r="AM113" s="12"/>
      <c r="AN113" s="12"/>
      <c r="AO113" s="12"/>
      <c r="AP113" s="12"/>
      <c r="AQ113" s="12"/>
      <c r="AR113" s="12"/>
      <c r="AS113" s="37">
        <v>2.131</v>
      </c>
      <c r="AT113" s="37">
        <v>0.4783</v>
      </c>
      <c r="AU113" s="37">
        <v>2.442</v>
      </c>
      <c r="AV113" s="37">
        <v>0.7536</v>
      </c>
      <c r="AW113" s="37">
        <v>2.289</v>
      </c>
      <c r="AX113" s="37">
        <v>0.7049</v>
      </c>
      <c r="AY113" s="37">
        <v>2.436</v>
      </c>
      <c r="AZ113" s="37">
        <v>0.7593</v>
      </c>
      <c r="BA113" s="37">
        <v>2.629</v>
      </c>
      <c r="BB113" s="37">
        <v>0.3663</v>
      </c>
      <c r="BC113" s="37">
        <v>2.142</v>
      </c>
      <c r="BD113" s="37">
        <v>0.56</v>
      </c>
      <c r="BE113" s="37">
        <v>2.138</v>
      </c>
      <c r="BF113" s="37">
        <v>0.4725</v>
      </c>
      <c r="BG113" s="21"/>
      <c r="BH113" s="21"/>
      <c r="BI113" s="21"/>
      <c r="BJ113" s="14"/>
      <c r="BK113" s="14"/>
      <c r="BL113" s="14"/>
    </row>
    <row r="114" ht="15.75" customHeight="1">
      <c r="A114" s="41" t="s">
        <v>89</v>
      </c>
      <c r="B114" s="60" t="s">
        <v>97</v>
      </c>
      <c r="C114" s="41" t="s">
        <v>96</v>
      </c>
      <c r="D114" s="2"/>
      <c r="E114" s="2"/>
      <c r="F114" s="3"/>
      <c r="G114" s="2"/>
      <c r="H114" s="2"/>
      <c r="I114" s="2"/>
      <c r="J114" s="5"/>
      <c r="K114" s="5"/>
      <c r="L114" s="5"/>
      <c r="M114" s="6"/>
      <c r="N114" s="7"/>
      <c r="O114" s="2"/>
      <c r="P114" s="2"/>
      <c r="Q114" s="2"/>
      <c r="R114" s="15"/>
      <c r="S114" s="16"/>
      <c r="T114" s="1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7"/>
      <c r="AJ114" s="12"/>
      <c r="AK114" s="12"/>
      <c r="AL114" s="13"/>
      <c r="AM114" s="12"/>
      <c r="AN114" s="12"/>
      <c r="AO114" s="12"/>
      <c r="AP114" s="12"/>
      <c r="AQ114" s="12"/>
      <c r="AR114" s="12"/>
      <c r="AS114" s="37">
        <v>1.58</v>
      </c>
      <c r="AT114" s="37">
        <v>0.1919</v>
      </c>
      <c r="AU114" s="37">
        <v>1.76</v>
      </c>
      <c r="AV114" s="37">
        <v>0.2642</v>
      </c>
      <c r="AW114" s="37">
        <v>1.74</v>
      </c>
      <c r="AX114" s="37">
        <v>0.2412</v>
      </c>
      <c r="AY114" s="37">
        <v>1.723</v>
      </c>
      <c r="AZ114" s="37">
        <v>0.2448</v>
      </c>
      <c r="BA114" s="37">
        <v>1.95</v>
      </c>
      <c r="BB114" s="37">
        <v>0.2199</v>
      </c>
      <c r="BC114" s="37">
        <v>1.438</v>
      </c>
      <c r="BD114" s="37">
        <v>0.2008</v>
      </c>
      <c r="BE114" s="37">
        <v>1.41</v>
      </c>
      <c r="BF114" s="37">
        <v>0.3537</v>
      </c>
      <c r="BG114" s="21"/>
      <c r="BH114" s="21"/>
      <c r="BI114" s="21"/>
      <c r="BJ114" s="14"/>
      <c r="BK114" s="14"/>
      <c r="BL114" s="14"/>
    </row>
    <row r="115" ht="15.75" customHeight="1">
      <c r="A115" s="41" t="s">
        <v>98</v>
      </c>
      <c r="B115" s="60" t="s">
        <v>56</v>
      </c>
      <c r="C115" s="40">
        <v>2093.0</v>
      </c>
      <c r="D115" s="2"/>
      <c r="E115" s="2"/>
      <c r="F115" s="3"/>
      <c r="G115" s="40">
        <v>99.7</v>
      </c>
      <c r="H115" s="2"/>
      <c r="I115" s="2"/>
      <c r="J115" s="39">
        <v>0.9</v>
      </c>
      <c r="K115" s="5"/>
      <c r="L115" s="5"/>
      <c r="M115" s="6"/>
      <c r="N115" s="7"/>
      <c r="O115" s="2"/>
      <c r="P115" s="2"/>
      <c r="Q115" s="2"/>
      <c r="R115" s="15"/>
      <c r="S115" s="16"/>
      <c r="T115" s="1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7"/>
      <c r="AJ115" s="12"/>
      <c r="AK115" s="12"/>
      <c r="AL115" s="13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4"/>
      <c r="BK115" s="14"/>
      <c r="BL115" s="14"/>
    </row>
    <row r="116" ht="15.75" customHeight="1">
      <c r="A116" s="41" t="s">
        <v>98</v>
      </c>
      <c r="B116" s="60" t="s">
        <v>56</v>
      </c>
      <c r="C116" s="40">
        <v>2092.0</v>
      </c>
      <c r="D116" s="2"/>
      <c r="E116" s="2"/>
      <c r="F116" s="3"/>
      <c r="G116" s="40">
        <v>146.0</v>
      </c>
      <c r="H116" s="2"/>
      <c r="I116" s="2"/>
      <c r="J116" s="39">
        <v>0.9</v>
      </c>
      <c r="K116" s="5"/>
      <c r="L116" s="5"/>
      <c r="M116" s="6"/>
      <c r="N116" s="7"/>
      <c r="O116" s="2"/>
      <c r="P116" s="2"/>
      <c r="Q116" s="2"/>
      <c r="R116" s="15"/>
      <c r="S116" s="16"/>
      <c r="T116" s="1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7"/>
      <c r="AJ116" s="12"/>
      <c r="AK116" s="12"/>
      <c r="AL116" s="13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4"/>
      <c r="BK116" s="14"/>
      <c r="BL116" s="14"/>
    </row>
    <row r="117" ht="15.75" customHeight="1">
      <c r="A117" s="41" t="s">
        <v>98</v>
      </c>
      <c r="B117" s="60" t="s">
        <v>56</v>
      </c>
      <c r="C117" s="40">
        <v>2091.0</v>
      </c>
      <c r="D117" s="2"/>
      <c r="E117" s="2"/>
      <c r="F117" s="3"/>
      <c r="G117" s="40">
        <v>120.1</v>
      </c>
      <c r="H117" s="2"/>
      <c r="I117" s="2"/>
      <c r="J117" s="5"/>
      <c r="K117" s="5"/>
      <c r="L117" s="5"/>
      <c r="M117" s="6"/>
      <c r="N117" s="7"/>
      <c r="O117" s="2"/>
      <c r="P117" s="2"/>
      <c r="Q117" s="2"/>
      <c r="R117" s="15"/>
      <c r="S117" s="16"/>
      <c r="T117" s="1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7"/>
      <c r="AJ117" s="12"/>
      <c r="AK117" s="12"/>
      <c r="AL117" s="13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4"/>
      <c r="BK117" s="14"/>
      <c r="BL117" s="14"/>
    </row>
    <row r="118" ht="15.75" customHeight="1">
      <c r="A118" s="41" t="s">
        <v>98</v>
      </c>
      <c r="B118" s="60" t="s">
        <v>61</v>
      </c>
      <c r="C118" s="40">
        <v>2090.0</v>
      </c>
      <c r="D118" s="2"/>
      <c r="E118" s="2"/>
      <c r="F118" s="3"/>
      <c r="G118" s="40">
        <v>86.5</v>
      </c>
      <c r="H118" s="2"/>
      <c r="I118" s="2"/>
      <c r="J118" s="5"/>
      <c r="K118" s="5"/>
      <c r="L118" s="5"/>
      <c r="M118" s="6"/>
      <c r="N118" s="7"/>
      <c r="O118" s="2"/>
      <c r="P118" s="2"/>
      <c r="Q118" s="2"/>
      <c r="R118" s="15"/>
      <c r="S118" s="16"/>
      <c r="T118" s="1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7"/>
      <c r="AJ118" s="12"/>
      <c r="AK118" s="12"/>
      <c r="AL118" s="13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4"/>
      <c r="BK118" s="14"/>
      <c r="BL118" s="14"/>
    </row>
    <row r="119" ht="15.75" customHeight="1">
      <c r="A119" s="41" t="s">
        <v>98</v>
      </c>
      <c r="B119" s="60" t="s">
        <v>56</v>
      </c>
      <c r="C119" s="40">
        <v>2089.0</v>
      </c>
      <c r="D119" s="2"/>
      <c r="E119" s="2"/>
      <c r="F119" s="3"/>
      <c r="G119" s="40">
        <v>167.0</v>
      </c>
      <c r="H119" s="2"/>
      <c r="I119" s="2"/>
      <c r="J119" s="39">
        <v>0.8</v>
      </c>
      <c r="K119" s="5"/>
      <c r="L119" s="5"/>
      <c r="M119" s="6"/>
      <c r="N119" s="7"/>
      <c r="O119" s="2"/>
      <c r="P119" s="2"/>
      <c r="Q119" s="2"/>
      <c r="R119" s="15"/>
      <c r="S119" s="16"/>
      <c r="T119" s="1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7"/>
      <c r="AJ119" s="12"/>
      <c r="AK119" s="12"/>
      <c r="AL119" s="13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4"/>
      <c r="BK119" s="14"/>
      <c r="BL119" s="14"/>
    </row>
    <row r="120" ht="15.75" customHeight="1">
      <c r="A120" s="41" t="s">
        <v>98</v>
      </c>
      <c r="B120" s="60" t="s">
        <v>61</v>
      </c>
      <c r="C120" s="40">
        <v>2088.0</v>
      </c>
      <c r="D120" s="2"/>
      <c r="E120" s="2"/>
      <c r="F120" s="3"/>
      <c r="G120" s="40">
        <v>67.0</v>
      </c>
      <c r="H120" s="2"/>
      <c r="I120" s="2"/>
      <c r="J120" s="39">
        <v>1.0</v>
      </c>
      <c r="K120" s="5"/>
      <c r="L120" s="5"/>
      <c r="M120" s="6"/>
      <c r="N120" s="7"/>
      <c r="O120" s="2"/>
      <c r="P120" s="2"/>
      <c r="Q120" s="2"/>
      <c r="R120" s="15"/>
      <c r="S120" s="16"/>
      <c r="T120" s="1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7"/>
      <c r="AJ120" s="12"/>
      <c r="AK120" s="12"/>
      <c r="AL120" s="13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4"/>
      <c r="BK120" s="14"/>
      <c r="BL120" s="14"/>
    </row>
    <row r="121" ht="15.75" customHeight="1">
      <c r="A121" s="41" t="s">
        <v>98</v>
      </c>
      <c r="B121" s="60" t="s">
        <v>61</v>
      </c>
      <c r="C121" s="40">
        <v>2087.0</v>
      </c>
      <c r="D121" s="2"/>
      <c r="E121" s="2"/>
      <c r="F121" s="3"/>
      <c r="G121" s="40">
        <v>73.2</v>
      </c>
      <c r="H121" s="2"/>
      <c r="I121" s="2"/>
      <c r="J121" s="39">
        <v>1.0</v>
      </c>
      <c r="K121" s="5"/>
      <c r="L121" s="5"/>
      <c r="M121" s="6"/>
      <c r="N121" s="7"/>
      <c r="O121" s="2"/>
      <c r="P121" s="2"/>
      <c r="Q121" s="2"/>
      <c r="R121" s="15"/>
      <c r="S121" s="16"/>
      <c r="T121" s="1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7"/>
      <c r="AJ121" s="12"/>
      <c r="AK121" s="12"/>
      <c r="AL121" s="13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4"/>
      <c r="BK121" s="14"/>
      <c r="BL121" s="14"/>
    </row>
    <row r="122" ht="15.75" customHeight="1">
      <c r="A122" s="41" t="s">
        <v>98</v>
      </c>
      <c r="B122" s="60" t="s">
        <v>61</v>
      </c>
      <c r="C122" s="40">
        <v>2086.0</v>
      </c>
      <c r="D122" s="2"/>
      <c r="E122" s="2"/>
      <c r="F122" s="3"/>
      <c r="G122" s="40">
        <v>62.4</v>
      </c>
      <c r="H122" s="2"/>
      <c r="I122" s="2"/>
      <c r="J122" s="39">
        <v>0.8</v>
      </c>
      <c r="K122" s="5"/>
      <c r="L122" s="5"/>
      <c r="M122" s="6"/>
      <c r="N122" s="7"/>
      <c r="O122" s="2"/>
      <c r="P122" s="2"/>
      <c r="Q122" s="2"/>
      <c r="R122" s="15"/>
      <c r="S122" s="16"/>
      <c r="T122" s="1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7"/>
      <c r="AJ122" s="12"/>
      <c r="AK122" s="12"/>
      <c r="AL122" s="13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4"/>
      <c r="BK122" s="14"/>
      <c r="BL122" s="14"/>
    </row>
    <row r="123" ht="15.75" customHeight="1">
      <c r="A123" s="41" t="s">
        <v>98</v>
      </c>
      <c r="B123" s="60" t="s">
        <v>61</v>
      </c>
      <c r="C123" s="40">
        <v>2085.0</v>
      </c>
      <c r="D123" s="2"/>
      <c r="E123" s="2"/>
      <c r="F123" s="3"/>
      <c r="G123" s="40">
        <v>86.3</v>
      </c>
      <c r="H123" s="2"/>
      <c r="I123" s="2"/>
      <c r="J123" s="5"/>
      <c r="K123" s="5"/>
      <c r="L123" s="5"/>
      <c r="M123" s="6"/>
      <c r="N123" s="7"/>
      <c r="O123" s="2"/>
      <c r="P123" s="2"/>
      <c r="Q123" s="2"/>
      <c r="R123" s="15"/>
      <c r="S123" s="16"/>
      <c r="T123" s="16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7"/>
      <c r="AJ123" s="12"/>
      <c r="AK123" s="12"/>
      <c r="AL123" s="13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4"/>
      <c r="BK123" s="14"/>
      <c r="BL123" s="14"/>
    </row>
    <row r="124" ht="15.75" customHeight="1">
      <c r="A124" s="2"/>
      <c r="B124" s="4"/>
      <c r="C124" s="2"/>
      <c r="D124" s="2"/>
      <c r="E124" s="2"/>
      <c r="F124" s="3"/>
      <c r="G124" s="2"/>
      <c r="H124" s="2"/>
      <c r="I124" s="2"/>
      <c r="J124" s="5"/>
      <c r="K124" s="5"/>
      <c r="L124" s="5"/>
      <c r="M124" s="6"/>
      <c r="N124" s="7"/>
      <c r="O124" s="2"/>
      <c r="P124" s="2"/>
      <c r="Q124" s="2"/>
      <c r="R124" s="15"/>
      <c r="S124" s="16"/>
      <c r="T124" s="16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7"/>
      <c r="AJ124" s="12"/>
      <c r="AK124" s="12"/>
      <c r="AL124" s="13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4"/>
      <c r="BK124" s="14"/>
      <c r="BL124" s="14"/>
    </row>
    <row r="125" ht="15.75" customHeight="1">
      <c r="A125" s="2"/>
      <c r="B125" s="4"/>
      <c r="C125" s="2"/>
      <c r="D125" s="2"/>
      <c r="E125" s="2"/>
      <c r="F125" s="3"/>
      <c r="G125" s="2"/>
      <c r="H125" s="2"/>
      <c r="I125" s="2"/>
      <c r="J125" s="5"/>
      <c r="K125" s="5"/>
      <c r="L125" s="5"/>
      <c r="M125" s="6"/>
      <c r="N125" s="7"/>
      <c r="O125" s="2"/>
      <c r="P125" s="2"/>
      <c r="Q125" s="2"/>
      <c r="R125" s="15"/>
      <c r="S125" s="16"/>
      <c r="T125" s="16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7"/>
      <c r="AJ125" s="12"/>
      <c r="AK125" s="12"/>
      <c r="AL125" s="13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4"/>
      <c r="BK125" s="14"/>
      <c r="BL125" s="14"/>
    </row>
    <row r="126" ht="15.75" customHeight="1">
      <c r="A126" s="2"/>
      <c r="B126" s="4"/>
      <c r="C126" s="2"/>
      <c r="D126" s="2"/>
      <c r="E126" s="2"/>
      <c r="F126" s="3"/>
      <c r="G126" s="2"/>
      <c r="H126" s="2"/>
      <c r="I126" s="2"/>
      <c r="J126" s="5"/>
      <c r="K126" s="5"/>
      <c r="L126" s="5"/>
      <c r="M126" s="6"/>
      <c r="N126" s="7"/>
      <c r="O126" s="2"/>
      <c r="P126" s="2"/>
      <c r="Q126" s="2"/>
      <c r="R126" s="15"/>
      <c r="S126" s="16"/>
      <c r="T126" s="16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7"/>
      <c r="AJ126" s="12"/>
      <c r="AK126" s="12"/>
      <c r="AL126" s="13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4"/>
      <c r="BK126" s="14"/>
      <c r="BL126" s="14"/>
    </row>
    <row r="127" ht="15.75" customHeight="1">
      <c r="A127" s="2"/>
      <c r="B127" s="4"/>
      <c r="C127" s="2"/>
      <c r="D127" s="2"/>
      <c r="E127" s="2"/>
      <c r="F127" s="3"/>
      <c r="G127" s="2"/>
      <c r="H127" s="2"/>
      <c r="I127" s="2"/>
      <c r="J127" s="5"/>
      <c r="K127" s="5"/>
      <c r="L127" s="5"/>
      <c r="M127" s="6"/>
      <c r="N127" s="7"/>
      <c r="O127" s="2"/>
      <c r="P127" s="2"/>
      <c r="Q127" s="2"/>
      <c r="R127" s="15"/>
      <c r="S127" s="16"/>
      <c r="T127" s="16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7"/>
      <c r="AJ127" s="12"/>
      <c r="AK127" s="12"/>
      <c r="AL127" s="13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4"/>
      <c r="BK127" s="14"/>
      <c r="BL127" s="14"/>
    </row>
    <row r="128" ht="15.75" customHeight="1">
      <c r="A128" s="2"/>
      <c r="B128" s="4"/>
      <c r="C128" s="2"/>
      <c r="D128" s="2"/>
      <c r="E128" s="2"/>
      <c r="F128" s="3"/>
      <c r="G128" s="2"/>
      <c r="H128" s="2"/>
      <c r="I128" s="2"/>
      <c r="J128" s="5"/>
      <c r="K128" s="5"/>
      <c r="L128" s="5"/>
      <c r="M128" s="6"/>
      <c r="N128" s="7"/>
      <c r="O128" s="2"/>
      <c r="P128" s="2"/>
      <c r="Q128" s="2"/>
      <c r="R128" s="15"/>
      <c r="S128" s="16"/>
      <c r="T128" s="16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7"/>
      <c r="AJ128" s="12"/>
      <c r="AK128" s="12"/>
      <c r="AL128" s="13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4"/>
      <c r="BK128" s="14"/>
      <c r="BL128" s="14"/>
    </row>
    <row r="129" ht="15.75" customHeight="1">
      <c r="A129" s="2"/>
      <c r="B129" s="4"/>
      <c r="C129" s="2"/>
      <c r="D129" s="2"/>
      <c r="E129" s="2"/>
      <c r="F129" s="3"/>
      <c r="G129" s="2"/>
      <c r="H129" s="2"/>
      <c r="I129" s="2"/>
      <c r="J129" s="5"/>
      <c r="K129" s="5"/>
      <c r="L129" s="5"/>
      <c r="M129" s="6"/>
      <c r="N129" s="7"/>
      <c r="O129" s="2"/>
      <c r="P129" s="2"/>
      <c r="Q129" s="2"/>
      <c r="R129" s="15"/>
      <c r="S129" s="16"/>
      <c r="T129" s="16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7"/>
      <c r="AJ129" s="12"/>
      <c r="AK129" s="12"/>
      <c r="AL129" s="13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4"/>
      <c r="BK129" s="14"/>
      <c r="BL129" s="14"/>
    </row>
    <row r="130" ht="15.75" customHeight="1">
      <c r="A130" s="2"/>
      <c r="B130" s="4"/>
      <c r="C130" s="2"/>
      <c r="D130" s="2"/>
      <c r="E130" s="2"/>
      <c r="F130" s="3"/>
      <c r="G130" s="2"/>
      <c r="H130" s="2"/>
      <c r="I130" s="2"/>
      <c r="J130" s="5"/>
      <c r="K130" s="5"/>
      <c r="L130" s="5"/>
      <c r="M130" s="6"/>
      <c r="N130" s="7"/>
      <c r="O130" s="2"/>
      <c r="P130" s="2"/>
      <c r="Q130" s="2"/>
      <c r="R130" s="15"/>
      <c r="S130" s="16"/>
      <c r="T130" s="16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7"/>
      <c r="AJ130" s="12"/>
      <c r="AK130" s="12"/>
      <c r="AL130" s="13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4"/>
      <c r="BK130" s="14"/>
      <c r="BL130" s="14"/>
    </row>
    <row r="131" ht="15.75" customHeight="1">
      <c r="A131" s="2"/>
      <c r="B131" s="4"/>
      <c r="C131" s="2"/>
      <c r="D131" s="2"/>
      <c r="E131" s="2"/>
      <c r="F131" s="3"/>
      <c r="G131" s="2"/>
      <c r="H131" s="2"/>
      <c r="I131" s="2"/>
      <c r="J131" s="5"/>
      <c r="K131" s="5"/>
      <c r="L131" s="5"/>
      <c r="M131" s="6"/>
      <c r="N131" s="7"/>
      <c r="O131" s="2"/>
      <c r="P131" s="2"/>
      <c r="Q131" s="2"/>
      <c r="R131" s="15"/>
      <c r="S131" s="16"/>
      <c r="T131" s="16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7"/>
      <c r="AJ131" s="12"/>
      <c r="AK131" s="12"/>
      <c r="AL131" s="13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4"/>
      <c r="BK131" s="14"/>
      <c r="BL131" s="14"/>
    </row>
    <row r="132" ht="15.75" customHeight="1">
      <c r="A132" s="2"/>
      <c r="B132" s="4"/>
      <c r="C132" s="2"/>
      <c r="D132" s="2"/>
      <c r="E132" s="2"/>
      <c r="F132" s="3"/>
      <c r="G132" s="2"/>
      <c r="H132" s="2"/>
      <c r="I132" s="2"/>
      <c r="J132" s="5"/>
      <c r="K132" s="5"/>
      <c r="L132" s="5"/>
      <c r="M132" s="6"/>
      <c r="N132" s="7"/>
      <c r="O132" s="2"/>
      <c r="P132" s="2"/>
      <c r="Q132" s="2"/>
      <c r="R132" s="15"/>
      <c r="S132" s="16"/>
      <c r="T132" s="16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7"/>
      <c r="AJ132" s="12"/>
      <c r="AK132" s="12"/>
      <c r="AL132" s="13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4"/>
      <c r="BK132" s="14"/>
      <c r="BL132" s="14"/>
    </row>
    <row r="133" ht="15.75" customHeight="1">
      <c r="A133" s="2"/>
      <c r="B133" s="4"/>
      <c r="C133" s="2"/>
      <c r="D133" s="2"/>
      <c r="E133" s="2"/>
      <c r="F133" s="3"/>
      <c r="G133" s="2"/>
      <c r="H133" s="2"/>
      <c r="I133" s="2"/>
      <c r="J133" s="5"/>
      <c r="K133" s="5"/>
      <c r="L133" s="5"/>
      <c r="M133" s="6"/>
      <c r="N133" s="7"/>
      <c r="O133" s="2"/>
      <c r="P133" s="2"/>
      <c r="Q133" s="2"/>
      <c r="R133" s="15"/>
      <c r="S133" s="16"/>
      <c r="T133" s="16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7"/>
      <c r="AJ133" s="12"/>
      <c r="AK133" s="12"/>
      <c r="AL133" s="13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4"/>
      <c r="BK133" s="14"/>
      <c r="BL133" s="14"/>
    </row>
    <row r="134" ht="15.75" customHeight="1">
      <c r="A134" s="2"/>
      <c r="B134" s="4"/>
      <c r="C134" s="2"/>
      <c r="D134" s="2"/>
      <c r="E134" s="2"/>
      <c r="F134" s="3"/>
      <c r="G134" s="2"/>
      <c r="H134" s="2"/>
      <c r="I134" s="2"/>
      <c r="J134" s="5"/>
      <c r="K134" s="5"/>
      <c r="L134" s="5"/>
      <c r="M134" s="6"/>
      <c r="N134" s="7"/>
      <c r="O134" s="2"/>
      <c r="P134" s="2"/>
      <c r="Q134" s="2"/>
      <c r="R134" s="15"/>
      <c r="S134" s="16"/>
      <c r="T134" s="16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7"/>
      <c r="AJ134" s="12"/>
      <c r="AK134" s="12"/>
      <c r="AL134" s="13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4"/>
      <c r="BK134" s="14"/>
      <c r="BL134" s="14"/>
    </row>
    <row r="135" ht="15.75" customHeight="1">
      <c r="A135" s="2"/>
      <c r="B135" s="4"/>
      <c r="C135" s="2"/>
      <c r="D135" s="2"/>
      <c r="E135" s="2"/>
      <c r="F135" s="3"/>
      <c r="G135" s="2"/>
      <c r="H135" s="2"/>
      <c r="I135" s="2"/>
      <c r="J135" s="5"/>
      <c r="K135" s="5"/>
      <c r="L135" s="5"/>
      <c r="M135" s="6"/>
      <c r="N135" s="7"/>
      <c r="O135" s="2"/>
      <c r="P135" s="2"/>
      <c r="Q135" s="2"/>
      <c r="R135" s="15"/>
      <c r="S135" s="16"/>
      <c r="T135" s="16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7"/>
      <c r="AJ135" s="12"/>
      <c r="AK135" s="12"/>
      <c r="AL135" s="13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4"/>
      <c r="BK135" s="14"/>
      <c r="BL135" s="14"/>
    </row>
    <row r="136" ht="15.75" customHeight="1">
      <c r="A136" s="2"/>
      <c r="B136" s="4"/>
      <c r="C136" s="2"/>
      <c r="D136" s="2"/>
      <c r="E136" s="2"/>
      <c r="F136" s="3"/>
      <c r="G136" s="2"/>
      <c r="H136" s="2"/>
      <c r="I136" s="2"/>
      <c r="J136" s="5"/>
      <c r="K136" s="5"/>
      <c r="L136" s="5"/>
      <c r="M136" s="6"/>
      <c r="N136" s="7"/>
      <c r="O136" s="2"/>
      <c r="P136" s="2"/>
      <c r="Q136" s="2"/>
      <c r="R136" s="15"/>
      <c r="S136" s="16"/>
      <c r="T136" s="16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7"/>
      <c r="AJ136" s="12"/>
      <c r="AK136" s="12"/>
      <c r="AL136" s="13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4"/>
      <c r="BK136" s="14"/>
      <c r="BL136" s="14"/>
    </row>
    <row r="137" ht="15.75" customHeight="1">
      <c r="A137" s="2"/>
      <c r="B137" s="4"/>
      <c r="C137" s="2"/>
      <c r="D137" s="2"/>
      <c r="E137" s="2"/>
      <c r="F137" s="3"/>
      <c r="G137" s="2"/>
      <c r="H137" s="2"/>
      <c r="I137" s="2"/>
      <c r="J137" s="5"/>
      <c r="K137" s="5"/>
      <c r="L137" s="5"/>
      <c r="M137" s="6"/>
      <c r="N137" s="7"/>
      <c r="O137" s="2"/>
      <c r="P137" s="2"/>
      <c r="Q137" s="2"/>
      <c r="R137" s="15"/>
      <c r="S137" s="16"/>
      <c r="T137" s="16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7"/>
      <c r="AJ137" s="12"/>
      <c r="AK137" s="12"/>
      <c r="AL137" s="13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4"/>
      <c r="BK137" s="14"/>
      <c r="BL137" s="14"/>
    </row>
    <row r="138" ht="15.75" customHeight="1">
      <c r="A138" s="2"/>
      <c r="B138" s="4"/>
      <c r="C138" s="2"/>
      <c r="D138" s="2"/>
      <c r="E138" s="2"/>
      <c r="F138" s="3"/>
      <c r="G138" s="2"/>
      <c r="H138" s="2"/>
      <c r="I138" s="2"/>
      <c r="J138" s="5"/>
      <c r="K138" s="5"/>
      <c r="L138" s="5"/>
      <c r="M138" s="6"/>
      <c r="N138" s="7"/>
      <c r="O138" s="2"/>
      <c r="P138" s="2"/>
      <c r="Q138" s="2"/>
      <c r="R138" s="15"/>
      <c r="S138" s="16"/>
      <c r="T138" s="16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7"/>
      <c r="AJ138" s="12"/>
      <c r="AK138" s="12"/>
      <c r="AL138" s="13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4"/>
      <c r="BK138" s="14"/>
      <c r="BL138" s="14"/>
    </row>
    <row r="139" ht="15.75" customHeight="1">
      <c r="A139" s="2"/>
      <c r="B139" s="4"/>
      <c r="C139" s="2"/>
      <c r="D139" s="2"/>
      <c r="E139" s="2"/>
      <c r="F139" s="3"/>
      <c r="G139" s="2"/>
      <c r="H139" s="2"/>
      <c r="I139" s="2"/>
      <c r="J139" s="5"/>
      <c r="K139" s="5"/>
      <c r="L139" s="5"/>
      <c r="M139" s="6"/>
      <c r="N139" s="7"/>
      <c r="O139" s="2"/>
      <c r="P139" s="2"/>
      <c r="Q139" s="2"/>
      <c r="R139" s="15"/>
      <c r="S139" s="16"/>
      <c r="T139" s="16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7"/>
      <c r="AJ139" s="12"/>
      <c r="AK139" s="12"/>
      <c r="AL139" s="13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4"/>
      <c r="BK139" s="14"/>
      <c r="BL139" s="14"/>
    </row>
    <row r="140" ht="15.75" customHeight="1">
      <c r="A140" s="2"/>
      <c r="B140" s="4"/>
      <c r="C140" s="2"/>
      <c r="D140" s="2"/>
      <c r="E140" s="2"/>
      <c r="F140" s="3"/>
      <c r="G140" s="2"/>
      <c r="H140" s="2"/>
      <c r="I140" s="2"/>
      <c r="J140" s="5"/>
      <c r="K140" s="5"/>
      <c r="L140" s="5"/>
      <c r="M140" s="6"/>
      <c r="N140" s="7"/>
      <c r="O140" s="2"/>
      <c r="P140" s="2"/>
      <c r="Q140" s="2"/>
      <c r="R140" s="15"/>
      <c r="S140" s="16"/>
      <c r="T140" s="16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7"/>
      <c r="AJ140" s="12"/>
      <c r="AK140" s="12"/>
      <c r="AL140" s="13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4"/>
      <c r="BK140" s="14"/>
      <c r="BL140" s="14"/>
    </row>
    <row r="141" ht="15.75" customHeight="1">
      <c r="A141" s="2"/>
      <c r="B141" s="4"/>
      <c r="C141" s="2"/>
      <c r="D141" s="2"/>
      <c r="E141" s="2"/>
      <c r="F141" s="3"/>
      <c r="G141" s="2"/>
      <c r="H141" s="2"/>
      <c r="I141" s="2"/>
      <c r="J141" s="5"/>
      <c r="K141" s="5"/>
      <c r="L141" s="5"/>
      <c r="M141" s="6"/>
      <c r="N141" s="7"/>
      <c r="O141" s="2"/>
      <c r="P141" s="2"/>
      <c r="Q141" s="2"/>
      <c r="R141" s="15"/>
      <c r="S141" s="16"/>
      <c r="T141" s="16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7"/>
      <c r="AJ141" s="12"/>
      <c r="AK141" s="12"/>
      <c r="AL141" s="13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4"/>
      <c r="BK141" s="14"/>
      <c r="BL141" s="14"/>
    </row>
    <row r="142" ht="15.75" customHeight="1">
      <c r="A142" s="2"/>
      <c r="B142" s="4"/>
      <c r="C142" s="2"/>
      <c r="D142" s="2"/>
      <c r="E142" s="2"/>
      <c r="F142" s="3"/>
      <c r="G142" s="2"/>
      <c r="H142" s="2"/>
      <c r="I142" s="2"/>
      <c r="J142" s="5"/>
      <c r="K142" s="5"/>
      <c r="L142" s="5"/>
      <c r="M142" s="6"/>
      <c r="N142" s="7"/>
      <c r="O142" s="2"/>
      <c r="P142" s="2"/>
      <c r="Q142" s="2"/>
      <c r="R142" s="15"/>
      <c r="S142" s="16"/>
      <c r="T142" s="16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7"/>
      <c r="AJ142" s="12"/>
      <c r="AK142" s="12"/>
      <c r="AL142" s="13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4"/>
      <c r="BK142" s="14"/>
      <c r="BL142" s="14"/>
    </row>
    <row r="143" ht="15.75" customHeight="1">
      <c r="A143" s="2"/>
      <c r="B143" s="4"/>
      <c r="C143" s="2"/>
      <c r="D143" s="2"/>
      <c r="E143" s="2"/>
      <c r="F143" s="3"/>
      <c r="G143" s="2"/>
      <c r="H143" s="2"/>
      <c r="I143" s="2"/>
      <c r="J143" s="5"/>
      <c r="K143" s="5"/>
      <c r="L143" s="5"/>
      <c r="M143" s="6"/>
      <c r="N143" s="7"/>
      <c r="O143" s="2"/>
      <c r="P143" s="2"/>
      <c r="Q143" s="2"/>
      <c r="R143" s="15"/>
      <c r="S143" s="16"/>
      <c r="T143" s="16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7"/>
      <c r="AJ143" s="12"/>
      <c r="AK143" s="12"/>
      <c r="AL143" s="13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4"/>
      <c r="BK143" s="14"/>
      <c r="BL143" s="14"/>
    </row>
    <row r="144" ht="15.75" customHeight="1">
      <c r="A144" s="2"/>
      <c r="B144" s="4"/>
      <c r="C144" s="2"/>
      <c r="D144" s="2"/>
      <c r="E144" s="2"/>
      <c r="F144" s="3"/>
      <c r="G144" s="2"/>
      <c r="H144" s="2"/>
      <c r="I144" s="2"/>
      <c r="J144" s="5"/>
      <c r="K144" s="5"/>
      <c r="L144" s="5"/>
      <c r="M144" s="6"/>
      <c r="N144" s="7"/>
      <c r="O144" s="2"/>
      <c r="P144" s="2"/>
      <c r="Q144" s="2"/>
      <c r="R144" s="15"/>
      <c r="S144" s="16"/>
      <c r="T144" s="16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7"/>
      <c r="AJ144" s="12"/>
      <c r="AK144" s="12"/>
      <c r="AL144" s="13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4"/>
      <c r="BK144" s="14"/>
      <c r="BL144" s="14"/>
    </row>
    <row r="145" ht="15.75" customHeight="1">
      <c r="A145" s="2"/>
      <c r="B145" s="4"/>
      <c r="C145" s="2"/>
      <c r="D145" s="2"/>
      <c r="E145" s="2"/>
      <c r="F145" s="3"/>
      <c r="G145" s="2"/>
      <c r="H145" s="2"/>
      <c r="I145" s="2"/>
      <c r="J145" s="5"/>
      <c r="K145" s="5"/>
      <c r="L145" s="5"/>
      <c r="M145" s="6"/>
      <c r="N145" s="7"/>
      <c r="O145" s="2"/>
      <c r="P145" s="2"/>
      <c r="Q145" s="2"/>
      <c r="R145" s="15"/>
      <c r="S145" s="16"/>
      <c r="T145" s="16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7"/>
      <c r="AJ145" s="12"/>
      <c r="AK145" s="12"/>
      <c r="AL145" s="13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4"/>
      <c r="BK145" s="14"/>
      <c r="BL145" s="14"/>
    </row>
    <row r="146" ht="15.75" customHeight="1">
      <c r="A146" s="2"/>
      <c r="B146" s="4"/>
      <c r="C146" s="2"/>
      <c r="D146" s="2"/>
      <c r="E146" s="2"/>
      <c r="F146" s="3"/>
      <c r="G146" s="2"/>
      <c r="H146" s="2"/>
      <c r="I146" s="2"/>
      <c r="J146" s="5"/>
      <c r="K146" s="5"/>
      <c r="L146" s="5"/>
      <c r="M146" s="6"/>
      <c r="N146" s="7"/>
      <c r="O146" s="2"/>
      <c r="P146" s="2"/>
      <c r="Q146" s="2"/>
      <c r="R146" s="15"/>
      <c r="S146" s="16"/>
      <c r="T146" s="16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7"/>
      <c r="AJ146" s="12"/>
      <c r="AK146" s="12"/>
      <c r="AL146" s="13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4"/>
      <c r="BK146" s="14"/>
      <c r="BL146" s="14"/>
    </row>
    <row r="147" ht="15.75" customHeight="1">
      <c r="A147" s="2"/>
      <c r="B147" s="4"/>
      <c r="C147" s="2"/>
      <c r="D147" s="2"/>
      <c r="E147" s="2"/>
      <c r="F147" s="3"/>
      <c r="G147" s="2"/>
      <c r="H147" s="2"/>
      <c r="I147" s="2"/>
      <c r="J147" s="5"/>
      <c r="K147" s="5"/>
      <c r="L147" s="5"/>
      <c r="M147" s="6"/>
      <c r="N147" s="7"/>
      <c r="O147" s="2"/>
      <c r="P147" s="2"/>
      <c r="Q147" s="2"/>
      <c r="R147" s="15"/>
      <c r="S147" s="16"/>
      <c r="T147" s="16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7"/>
      <c r="AJ147" s="12"/>
      <c r="AK147" s="12"/>
      <c r="AL147" s="13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4"/>
      <c r="BK147" s="14"/>
      <c r="BL147" s="14"/>
    </row>
    <row r="148" ht="15.75" customHeight="1">
      <c r="A148" s="2"/>
      <c r="B148" s="4"/>
      <c r="C148" s="2"/>
      <c r="D148" s="2"/>
      <c r="E148" s="2"/>
      <c r="F148" s="3"/>
      <c r="G148" s="2"/>
      <c r="H148" s="2"/>
      <c r="I148" s="2"/>
      <c r="J148" s="5"/>
      <c r="K148" s="5"/>
      <c r="L148" s="5"/>
      <c r="M148" s="6"/>
      <c r="N148" s="7"/>
      <c r="O148" s="2"/>
      <c r="P148" s="2"/>
      <c r="Q148" s="2"/>
      <c r="R148" s="15"/>
      <c r="S148" s="16"/>
      <c r="T148" s="16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7"/>
      <c r="AJ148" s="12"/>
      <c r="AK148" s="12"/>
      <c r="AL148" s="13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4"/>
      <c r="BK148" s="14"/>
      <c r="BL148" s="14"/>
    </row>
    <row r="149" ht="15.75" customHeight="1">
      <c r="A149" s="2"/>
      <c r="B149" s="4"/>
      <c r="C149" s="2"/>
      <c r="D149" s="2"/>
      <c r="E149" s="2"/>
      <c r="F149" s="3"/>
      <c r="G149" s="2"/>
      <c r="H149" s="2"/>
      <c r="I149" s="2"/>
      <c r="J149" s="5"/>
      <c r="K149" s="5"/>
      <c r="L149" s="5"/>
      <c r="M149" s="6"/>
      <c r="N149" s="7"/>
      <c r="O149" s="2"/>
      <c r="P149" s="2"/>
      <c r="Q149" s="2"/>
      <c r="R149" s="15"/>
      <c r="S149" s="16"/>
      <c r="T149" s="16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7"/>
      <c r="AJ149" s="12"/>
      <c r="AK149" s="12"/>
      <c r="AL149" s="13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4"/>
      <c r="BK149" s="14"/>
      <c r="BL149" s="14"/>
    </row>
    <row r="150" ht="15.75" customHeight="1">
      <c r="A150" s="2"/>
      <c r="B150" s="4"/>
      <c r="C150" s="2"/>
      <c r="D150" s="2"/>
      <c r="E150" s="2"/>
      <c r="F150" s="3"/>
      <c r="G150" s="2"/>
      <c r="H150" s="2"/>
      <c r="I150" s="2"/>
      <c r="J150" s="5"/>
      <c r="K150" s="5"/>
      <c r="L150" s="5"/>
      <c r="M150" s="6"/>
      <c r="N150" s="7"/>
      <c r="O150" s="2"/>
      <c r="P150" s="2"/>
      <c r="Q150" s="2"/>
      <c r="R150" s="15"/>
      <c r="S150" s="16"/>
      <c r="T150" s="16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7"/>
      <c r="AJ150" s="12"/>
      <c r="AK150" s="12"/>
      <c r="AL150" s="13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4"/>
      <c r="BK150" s="14"/>
      <c r="BL150" s="14"/>
    </row>
    <row r="151" ht="15.75" customHeight="1">
      <c r="A151" s="2"/>
      <c r="B151" s="4"/>
      <c r="C151" s="2"/>
      <c r="D151" s="2"/>
      <c r="E151" s="2"/>
      <c r="F151" s="3"/>
      <c r="G151" s="2"/>
      <c r="H151" s="2"/>
      <c r="I151" s="2"/>
      <c r="J151" s="5"/>
      <c r="K151" s="5"/>
      <c r="L151" s="5"/>
      <c r="M151" s="6"/>
      <c r="N151" s="7"/>
      <c r="O151" s="2"/>
      <c r="P151" s="2"/>
      <c r="Q151" s="2"/>
      <c r="R151" s="15"/>
      <c r="S151" s="16"/>
      <c r="T151" s="16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7"/>
      <c r="AJ151" s="12"/>
      <c r="AK151" s="12"/>
      <c r="AL151" s="13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4"/>
      <c r="BK151" s="14"/>
      <c r="BL151" s="14"/>
    </row>
    <row r="152" ht="15.75" customHeight="1">
      <c r="A152" s="2"/>
      <c r="B152" s="4"/>
      <c r="C152" s="2"/>
      <c r="D152" s="2"/>
      <c r="E152" s="2"/>
      <c r="F152" s="3"/>
      <c r="G152" s="2"/>
      <c r="H152" s="2"/>
      <c r="I152" s="2"/>
      <c r="J152" s="5"/>
      <c r="K152" s="5"/>
      <c r="L152" s="5"/>
      <c r="M152" s="6"/>
      <c r="N152" s="7"/>
      <c r="O152" s="2"/>
      <c r="P152" s="2"/>
      <c r="Q152" s="2"/>
      <c r="R152" s="15"/>
      <c r="S152" s="16"/>
      <c r="T152" s="16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7"/>
      <c r="AJ152" s="12"/>
      <c r="AK152" s="12"/>
      <c r="AL152" s="13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4"/>
      <c r="BK152" s="14"/>
      <c r="BL152" s="14"/>
    </row>
    <row r="153" ht="15.75" customHeight="1">
      <c r="A153" s="2"/>
      <c r="B153" s="4"/>
      <c r="C153" s="2"/>
      <c r="D153" s="2"/>
      <c r="E153" s="2"/>
      <c r="F153" s="3"/>
      <c r="G153" s="2"/>
      <c r="H153" s="2"/>
      <c r="I153" s="2"/>
      <c r="J153" s="5"/>
      <c r="K153" s="5"/>
      <c r="L153" s="5"/>
      <c r="M153" s="6"/>
      <c r="N153" s="7"/>
      <c r="O153" s="2"/>
      <c r="P153" s="2"/>
      <c r="Q153" s="2"/>
      <c r="R153" s="15"/>
      <c r="S153" s="16"/>
      <c r="T153" s="16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7"/>
      <c r="AJ153" s="12"/>
      <c r="AK153" s="12"/>
      <c r="AL153" s="13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4"/>
      <c r="BK153" s="14"/>
      <c r="BL153" s="14"/>
    </row>
    <row r="154" ht="15.75" customHeight="1">
      <c r="A154" s="2"/>
      <c r="B154" s="4"/>
      <c r="C154" s="2"/>
      <c r="D154" s="2"/>
      <c r="E154" s="2"/>
      <c r="F154" s="3"/>
      <c r="G154" s="2"/>
      <c r="H154" s="2"/>
      <c r="I154" s="2"/>
      <c r="J154" s="5"/>
      <c r="K154" s="5"/>
      <c r="L154" s="5"/>
      <c r="M154" s="6"/>
      <c r="N154" s="7"/>
      <c r="O154" s="2"/>
      <c r="P154" s="2"/>
      <c r="Q154" s="2"/>
      <c r="R154" s="15"/>
      <c r="S154" s="16"/>
      <c r="T154" s="16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7"/>
      <c r="AJ154" s="12"/>
      <c r="AK154" s="12"/>
      <c r="AL154" s="13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4"/>
      <c r="BK154" s="14"/>
      <c r="BL154" s="14"/>
    </row>
    <row r="155" ht="15.75" customHeight="1">
      <c r="A155" s="2"/>
      <c r="B155" s="4"/>
      <c r="C155" s="2"/>
      <c r="D155" s="2"/>
      <c r="E155" s="2"/>
      <c r="F155" s="3"/>
      <c r="G155" s="2"/>
      <c r="H155" s="2"/>
      <c r="I155" s="2"/>
      <c r="J155" s="5"/>
      <c r="K155" s="5"/>
      <c r="L155" s="5"/>
      <c r="M155" s="6"/>
      <c r="N155" s="7"/>
      <c r="O155" s="2"/>
      <c r="P155" s="2"/>
      <c r="Q155" s="2"/>
      <c r="R155" s="15"/>
      <c r="S155" s="16"/>
      <c r="T155" s="16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7"/>
      <c r="AJ155" s="12"/>
      <c r="AK155" s="12"/>
      <c r="AL155" s="13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4"/>
      <c r="BK155" s="14"/>
      <c r="BL155" s="14"/>
    </row>
    <row r="156" ht="15.75" customHeight="1">
      <c r="A156" s="2"/>
      <c r="B156" s="4"/>
      <c r="C156" s="2"/>
      <c r="D156" s="2"/>
      <c r="E156" s="2"/>
      <c r="F156" s="3"/>
      <c r="G156" s="2"/>
      <c r="H156" s="2"/>
      <c r="I156" s="2"/>
      <c r="J156" s="5"/>
      <c r="K156" s="5"/>
      <c r="L156" s="5"/>
      <c r="M156" s="6"/>
      <c r="N156" s="7"/>
      <c r="O156" s="2"/>
      <c r="P156" s="2"/>
      <c r="Q156" s="2"/>
      <c r="R156" s="15"/>
      <c r="S156" s="16"/>
      <c r="T156" s="16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7"/>
      <c r="AJ156" s="12"/>
      <c r="AK156" s="12"/>
      <c r="AL156" s="13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4"/>
      <c r="BK156" s="14"/>
      <c r="BL156" s="14"/>
    </row>
    <row r="157" ht="15.75" customHeight="1">
      <c r="A157" s="2"/>
      <c r="B157" s="4"/>
      <c r="C157" s="2"/>
      <c r="D157" s="2"/>
      <c r="E157" s="2"/>
      <c r="F157" s="3"/>
      <c r="G157" s="2"/>
      <c r="H157" s="2"/>
      <c r="I157" s="2"/>
      <c r="J157" s="5"/>
      <c r="K157" s="5"/>
      <c r="L157" s="5"/>
      <c r="M157" s="6"/>
      <c r="N157" s="7"/>
      <c r="O157" s="2"/>
      <c r="P157" s="2"/>
      <c r="Q157" s="2"/>
      <c r="R157" s="15"/>
      <c r="S157" s="16"/>
      <c r="T157" s="16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7"/>
      <c r="AJ157" s="12"/>
      <c r="AK157" s="12"/>
      <c r="AL157" s="13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4"/>
      <c r="BK157" s="14"/>
      <c r="BL157" s="14"/>
    </row>
    <row r="158" ht="15.75" customHeight="1">
      <c r="A158" s="2"/>
      <c r="B158" s="4"/>
      <c r="C158" s="2"/>
      <c r="D158" s="2"/>
      <c r="E158" s="2"/>
      <c r="F158" s="3"/>
      <c r="G158" s="2"/>
      <c r="H158" s="2"/>
      <c r="I158" s="2"/>
      <c r="J158" s="5"/>
      <c r="K158" s="5"/>
      <c r="L158" s="5"/>
      <c r="M158" s="6"/>
      <c r="N158" s="7"/>
      <c r="O158" s="2"/>
      <c r="P158" s="2"/>
      <c r="Q158" s="2"/>
      <c r="R158" s="15"/>
      <c r="S158" s="16"/>
      <c r="T158" s="1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7"/>
      <c r="AJ158" s="12"/>
      <c r="AK158" s="12"/>
      <c r="AL158" s="13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4"/>
      <c r="BK158" s="14"/>
      <c r="BL158" s="14"/>
    </row>
    <row r="159" ht="15.75" customHeight="1">
      <c r="A159" s="2"/>
      <c r="B159" s="4"/>
      <c r="C159" s="2"/>
      <c r="D159" s="2"/>
      <c r="E159" s="2"/>
      <c r="F159" s="3"/>
      <c r="G159" s="2"/>
      <c r="H159" s="2"/>
      <c r="I159" s="2"/>
      <c r="J159" s="5"/>
      <c r="K159" s="5"/>
      <c r="L159" s="5"/>
      <c r="M159" s="6"/>
      <c r="N159" s="7"/>
      <c r="O159" s="2"/>
      <c r="P159" s="2"/>
      <c r="Q159" s="2"/>
      <c r="R159" s="15"/>
      <c r="S159" s="16"/>
      <c r="T159" s="16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7"/>
      <c r="AJ159" s="12"/>
      <c r="AK159" s="12"/>
      <c r="AL159" s="13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4"/>
      <c r="BK159" s="14"/>
      <c r="BL159" s="14"/>
    </row>
    <row r="160" ht="15.75" customHeight="1">
      <c r="A160" s="2"/>
      <c r="B160" s="4"/>
      <c r="C160" s="2"/>
      <c r="D160" s="2"/>
      <c r="E160" s="2"/>
      <c r="F160" s="3"/>
      <c r="G160" s="2"/>
      <c r="H160" s="2"/>
      <c r="I160" s="2"/>
      <c r="J160" s="5"/>
      <c r="K160" s="5"/>
      <c r="L160" s="5"/>
      <c r="M160" s="6"/>
      <c r="N160" s="7"/>
      <c r="O160" s="2"/>
      <c r="P160" s="2"/>
      <c r="Q160" s="2"/>
      <c r="R160" s="15"/>
      <c r="S160" s="16"/>
      <c r="T160" s="16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7"/>
      <c r="AJ160" s="12"/>
      <c r="AK160" s="12"/>
      <c r="AL160" s="13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4"/>
      <c r="BK160" s="14"/>
      <c r="BL160" s="14"/>
    </row>
    <row r="161" ht="15.75" customHeight="1">
      <c r="A161" s="2"/>
      <c r="B161" s="4"/>
      <c r="C161" s="2"/>
      <c r="D161" s="2"/>
      <c r="E161" s="2"/>
      <c r="F161" s="3"/>
      <c r="G161" s="2"/>
      <c r="H161" s="2"/>
      <c r="I161" s="2"/>
      <c r="J161" s="5"/>
      <c r="K161" s="5"/>
      <c r="L161" s="5"/>
      <c r="M161" s="6"/>
      <c r="N161" s="7"/>
      <c r="O161" s="2"/>
      <c r="P161" s="2"/>
      <c r="Q161" s="2"/>
      <c r="R161" s="15"/>
      <c r="S161" s="16"/>
      <c r="T161" s="16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7"/>
      <c r="AJ161" s="12"/>
      <c r="AK161" s="12"/>
      <c r="AL161" s="13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4"/>
      <c r="BK161" s="14"/>
      <c r="BL161" s="14"/>
    </row>
    <row r="162" ht="15.75" customHeight="1">
      <c r="A162" s="2"/>
      <c r="B162" s="4"/>
      <c r="C162" s="2"/>
      <c r="D162" s="2"/>
      <c r="E162" s="2"/>
      <c r="F162" s="3"/>
      <c r="G162" s="2"/>
      <c r="H162" s="2"/>
      <c r="I162" s="2"/>
      <c r="J162" s="5"/>
      <c r="K162" s="5"/>
      <c r="L162" s="5"/>
      <c r="M162" s="6"/>
      <c r="N162" s="7"/>
      <c r="O162" s="2"/>
      <c r="P162" s="2"/>
      <c r="Q162" s="2"/>
      <c r="R162" s="15"/>
      <c r="S162" s="16"/>
      <c r="T162" s="16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7"/>
      <c r="AJ162" s="12"/>
      <c r="AK162" s="12"/>
      <c r="AL162" s="13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4"/>
      <c r="BK162" s="14"/>
      <c r="BL162" s="14"/>
    </row>
    <row r="163" ht="15.75" customHeight="1">
      <c r="A163" s="2"/>
      <c r="B163" s="4"/>
      <c r="C163" s="2"/>
      <c r="D163" s="2"/>
      <c r="E163" s="2"/>
      <c r="F163" s="3"/>
      <c r="G163" s="2"/>
      <c r="H163" s="2"/>
      <c r="I163" s="2"/>
      <c r="J163" s="5"/>
      <c r="K163" s="5"/>
      <c r="L163" s="5"/>
      <c r="M163" s="6"/>
      <c r="N163" s="7"/>
      <c r="O163" s="2"/>
      <c r="P163" s="2"/>
      <c r="Q163" s="2"/>
      <c r="R163" s="15"/>
      <c r="S163" s="16"/>
      <c r="T163" s="16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7"/>
      <c r="AJ163" s="12"/>
      <c r="AK163" s="12"/>
      <c r="AL163" s="13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4"/>
      <c r="BK163" s="14"/>
      <c r="BL163" s="14"/>
    </row>
    <row r="164" ht="15.75" customHeight="1">
      <c r="A164" s="2"/>
      <c r="B164" s="4"/>
      <c r="C164" s="2"/>
      <c r="D164" s="2"/>
      <c r="E164" s="2"/>
      <c r="F164" s="3"/>
      <c r="G164" s="2"/>
      <c r="H164" s="2"/>
      <c r="I164" s="2"/>
      <c r="J164" s="5"/>
      <c r="K164" s="5"/>
      <c r="L164" s="5"/>
      <c r="M164" s="6"/>
      <c r="N164" s="7"/>
      <c r="O164" s="2"/>
      <c r="P164" s="2"/>
      <c r="Q164" s="2"/>
      <c r="R164" s="15"/>
      <c r="S164" s="16"/>
      <c r="T164" s="16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7"/>
      <c r="AJ164" s="12"/>
      <c r="AK164" s="12"/>
      <c r="AL164" s="13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4"/>
      <c r="BK164" s="14"/>
      <c r="BL164" s="14"/>
    </row>
    <row r="165" ht="15.75" customHeight="1">
      <c r="A165" s="2"/>
      <c r="B165" s="4"/>
      <c r="C165" s="2"/>
      <c r="D165" s="2"/>
      <c r="E165" s="2"/>
      <c r="F165" s="3"/>
      <c r="G165" s="2"/>
      <c r="H165" s="2"/>
      <c r="I165" s="2"/>
      <c r="J165" s="5"/>
      <c r="K165" s="5"/>
      <c r="L165" s="5"/>
      <c r="M165" s="6"/>
      <c r="N165" s="7"/>
      <c r="O165" s="2"/>
      <c r="P165" s="2"/>
      <c r="Q165" s="2"/>
      <c r="R165" s="15"/>
      <c r="S165" s="16"/>
      <c r="T165" s="16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7"/>
      <c r="AJ165" s="12"/>
      <c r="AK165" s="12"/>
      <c r="AL165" s="13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4"/>
      <c r="BK165" s="14"/>
      <c r="BL165" s="14"/>
    </row>
    <row r="166" ht="15.75" customHeight="1">
      <c r="A166" s="2"/>
      <c r="B166" s="4"/>
      <c r="C166" s="2"/>
      <c r="D166" s="2"/>
      <c r="E166" s="2"/>
      <c r="F166" s="3"/>
      <c r="G166" s="2"/>
      <c r="H166" s="2"/>
      <c r="I166" s="2"/>
      <c r="J166" s="5"/>
      <c r="K166" s="5"/>
      <c r="L166" s="5"/>
      <c r="M166" s="6"/>
      <c r="N166" s="7"/>
      <c r="O166" s="2"/>
      <c r="P166" s="2"/>
      <c r="Q166" s="2"/>
      <c r="R166" s="15"/>
      <c r="S166" s="16"/>
      <c r="T166" s="16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7"/>
      <c r="AJ166" s="12"/>
      <c r="AK166" s="12"/>
      <c r="AL166" s="13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4"/>
      <c r="BK166" s="14"/>
      <c r="BL166" s="14"/>
    </row>
    <row r="167" ht="15.75" customHeight="1">
      <c r="A167" s="2"/>
      <c r="B167" s="4"/>
      <c r="C167" s="2"/>
      <c r="D167" s="2"/>
      <c r="E167" s="2"/>
      <c r="F167" s="3"/>
      <c r="G167" s="2"/>
      <c r="H167" s="2"/>
      <c r="I167" s="2"/>
      <c r="J167" s="5"/>
      <c r="K167" s="5"/>
      <c r="L167" s="5"/>
      <c r="M167" s="6"/>
      <c r="N167" s="7"/>
      <c r="O167" s="2"/>
      <c r="P167" s="2"/>
      <c r="Q167" s="2"/>
      <c r="R167" s="15"/>
      <c r="S167" s="16"/>
      <c r="T167" s="16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7"/>
      <c r="AJ167" s="12"/>
      <c r="AK167" s="12"/>
      <c r="AL167" s="13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4"/>
      <c r="BK167" s="14"/>
      <c r="BL167" s="14"/>
    </row>
    <row r="168" ht="15.75" customHeight="1">
      <c r="A168" s="2"/>
      <c r="B168" s="4"/>
      <c r="C168" s="2"/>
      <c r="D168" s="2"/>
      <c r="E168" s="2"/>
      <c r="F168" s="3"/>
      <c r="G168" s="2"/>
      <c r="H168" s="2"/>
      <c r="I168" s="2"/>
      <c r="J168" s="5"/>
      <c r="K168" s="5"/>
      <c r="L168" s="5"/>
      <c r="M168" s="6"/>
      <c r="N168" s="7"/>
      <c r="O168" s="2"/>
      <c r="P168" s="2"/>
      <c r="Q168" s="2"/>
      <c r="R168" s="15"/>
      <c r="S168" s="16"/>
      <c r="T168" s="16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7"/>
      <c r="AJ168" s="12"/>
      <c r="AK168" s="12"/>
      <c r="AL168" s="13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4"/>
      <c r="BK168" s="14"/>
      <c r="BL168" s="14"/>
    </row>
    <row r="169" ht="15.75" customHeight="1">
      <c r="A169" s="2"/>
      <c r="B169" s="4"/>
      <c r="C169" s="2"/>
      <c r="D169" s="2"/>
      <c r="E169" s="2"/>
      <c r="F169" s="3"/>
      <c r="G169" s="2"/>
      <c r="H169" s="2"/>
      <c r="I169" s="2"/>
      <c r="J169" s="5"/>
      <c r="K169" s="5"/>
      <c r="L169" s="5"/>
      <c r="M169" s="6"/>
      <c r="N169" s="7"/>
      <c r="O169" s="2"/>
      <c r="P169" s="2"/>
      <c r="Q169" s="2"/>
      <c r="R169" s="15"/>
      <c r="S169" s="16"/>
      <c r="T169" s="16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7"/>
      <c r="AJ169" s="12"/>
      <c r="AK169" s="12"/>
      <c r="AL169" s="13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4"/>
      <c r="BK169" s="14"/>
      <c r="BL169" s="14"/>
    </row>
    <row r="170" ht="15.75" customHeight="1">
      <c r="A170" s="2"/>
      <c r="B170" s="4"/>
      <c r="C170" s="2"/>
      <c r="D170" s="2"/>
      <c r="E170" s="2"/>
      <c r="F170" s="3"/>
      <c r="G170" s="2"/>
      <c r="H170" s="2"/>
      <c r="I170" s="2"/>
      <c r="J170" s="5"/>
      <c r="K170" s="5"/>
      <c r="L170" s="5"/>
      <c r="M170" s="6"/>
      <c r="N170" s="7"/>
      <c r="O170" s="2"/>
      <c r="P170" s="2"/>
      <c r="Q170" s="2"/>
      <c r="R170" s="15"/>
      <c r="S170" s="16"/>
      <c r="T170" s="16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7"/>
      <c r="AJ170" s="12"/>
      <c r="AK170" s="12"/>
      <c r="AL170" s="13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4"/>
      <c r="BK170" s="14"/>
      <c r="BL170" s="14"/>
    </row>
    <row r="171" ht="15.75" customHeight="1">
      <c r="A171" s="2"/>
      <c r="B171" s="4"/>
      <c r="C171" s="2"/>
      <c r="D171" s="2"/>
      <c r="E171" s="2"/>
      <c r="F171" s="3"/>
      <c r="G171" s="2"/>
      <c r="H171" s="2"/>
      <c r="I171" s="2"/>
      <c r="J171" s="5"/>
      <c r="K171" s="5"/>
      <c r="L171" s="5"/>
      <c r="M171" s="6"/>
      <c r="N171" s="7"/>
      <c r="O171" s="2"/>
      <c r="P171" s="2"/>
      <c r="Q171" s="2"/>
      <c r="R171" s="15"/>
      <c r="S171" s="16"/>
      <c r="T171" s="16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7"/>
      <c r="AJ171" s="12"/>
      <c r="AK171" s="12"/>
      <c r="AL171" s="13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4"/>
      <c r="BK171" s="14"/>
      <c r="BL171" s="14"/>
    </row>
    <row r="172" ht="15.75" customHeight="1">
      <c r="A172" s="2"/>
      <c r="B172" s="4"/>
      <c r="C172" s="2"/>
      <c r="D172" s="2"/>
      <c r="E172" s="2"/>
      <c r="F172" s="3"/>
      <c r="G172" s="2"/>
      <c r="H172" s="2"/>
      <c r="I172" s="2"/>
      <c r="J172" s="5"/>
      <c r="K172" s="5"/>
      <c r="L172" s="5"/>
      <c r="M172" s="6"/>
      <c r="N172" s="7"/>
      <c r="O172" s="2"/>
      <c r="P172" s="2"/>
      <c r="Q172" s="2"/>
      <c r="R172" s="15"/>
      <c r="S172" s="16"/>
      <c r="T172" s="16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7"/>
      <c r="AJ172" s="12"/>
      <c r="AK172" s="12"/>
      <c r="AL172" s="13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4"/>
      <c r="BK172" s="14"/>
      <c r="BL172" s="14"/>
    </row>
    <row r="173" ht="15.75" customHeight="1">
      <c r="A173" s="2"/>
      <c r="B173" s="4"/>
      <c r="C173" s="2"/>
      <c r="D173" s="2"/>
      <c r="E173" s="2"/>
      <c r="F173" s="3"/>
      <c r="G173" s="2"/>
      <c r="H173" s="2"/>
      <c r="I173" s="2"/>
      <c r="J173" s="5"/>
      <c r="K173" s="5"/>
      <c r="L173" s="5"/>
      <c r="M173" s="6"/>
      <c r="N173" s="7"/>
      <c r="O173" s="2"/>
      <c r="P173" s="2"/>
      <c r="Q173" s="2"/>
      <c r="R173" s="15"/>
      <c r="S173" s="16"/>
      <c r="T173" s="16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7"/>
      <c r="AJ173" s="12"/>
      <c r="AK173" s="12"/>
      <c r="AL173" s="13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4"/>
      <c r="BK173" s="14"/>
      <c r="BL173" s="14"/>
    </row>
    <row r="174" ht="15.75" customHeight="1">
      <c r="A174" s="2"/>
      <c r="B174" s="4"/>
      <c r="C174" s="2"/>
      <c r="D174" s="2"/>
      <c r="E174" s="2"/>
      <c r="F174" s="3"/>
      <c r="G174" s="2"/>
      <c r="H174" s="2"/>
      <c r="I174" s="2"/>
      <c r="J174" s="5"/>
      <c r="K174" s="5"/>
      <c r="L174" s="5"/>
      <c r="M174" s="6"/>
      <c r="N174" s="7"/>
      <c r="O174" s="2"/>
      <c r="P174" s="2"/>
      <c r="Q174" s="2"/>
      <c r="R174" s="15"/>
      <c r="S174" s="16"/>
      <c r="T174" s="16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7"/>
      <c r="AJ174" s="12"/>
      <c r="AK174" s="12"/>
      <c r="AL174" s="13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4"/>
      <c r="BK174" s="14"/>
      <c r="BL174" s="14"/>
    </row>
    <row r="175" ht="15.75" customHeight="1">
      <c r="A175" s="2"/>
      <c r="B175" s="4"/>
      <c r="C175" s="2"/>
      <c r="D175" s="2"/>
      <c r="E175" s="2"/>
      <c r="F175" s="3"/>
      <c r="G175" s="2"/>
      <c r="H175" s="2"/>
      <c r="I175" s="2"/>
      <c r="J175" s="5"/>
      <c r="K175" s="5"/>
      <c r="L175" s="5"/>
      <c r="M175" s="6"/>
      <c r="N175" s="7"/>
      <c r="O175" s="2"/>
      <c r="P175" s="2"/>
      <c r="Q175" s="2"/>
      <c r="R175" s="15"/>
      <c r="S175" s="16"/>
      <c r="T175" s="16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7"/>
      <c r="AJ175" s="12"/>
      <c r="AK175" s="12"/>
      <c r="AL175" s="13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4"/>
      <c r="BK175" s="14"/>
      <c r="BL175" s="14"/>
    </row>
    <row r="176" ht="15.75" customHeight="1">
      <c r="A176" s="2"/>
      <c r="B176" s="4"/>
      <c r="C176" s="2"/>
      <c r="D176" s="2"/>
      <c r="E176" s="2"/>
      <c r="F176" s="3"/>
      <c r="G176" s="2"/>
      <c r="H176" s="2"/>
      <c r="I176" s="2"/>
      <c r="J176" s="5"/>
      <c r="K176" s="5"/>
      <c r="L176" s="5"/>
      <c r="M176" s="6"/>
      <c r="N176" s="7"/>
      <c r="O176" s="2"/>
      <c r="P176" s="2"/>
      <c r="Q176" s="2"/>
      <c r="R176" s="15"/>
      <c r="S176" s="16"/>
      <c r="T176" s="1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7"/>
      <c r="AJ176" s="12"/>
      <c r="AK176" s="12"/>
      <c r="AL176" s="13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4"/>
      <c r="BK176" s="14"/>
      <c r="BL176" s="14"/>
    </row>
    <row r="177" ht="15.75" customHeight="1">
      <c r="A177" s="2"/>
      <c r="B177" s="4"/>
      <c r="C177" s="2"/>
      <c r="D177" s="2"/>
      <c r="E177" s="2"/>
      <c r="F177" s="3"/>
      <c r="G177" s="2"/>
      <c r="H177" s="2"/>
      <c r="I177" s="2"/>
      <c r="J177" s="5"/>
      <c r="K177" s="5"/>
      <c r="L177" s="5"/>
      <c r="M177" s="6"/>
      <c r="N177" s="7"/>
      <c r="O177" s="2"/>
      <c r="P177" s="2"/>
      <c r="Q177" s="2"/>
      <c r="R177" s="15"/>
      <c r="S177" s="16"/>
      <c r="T177" s="1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7"/>
      <c r="AJ177" s="12"/>
      <c r="AK177" s="12"/>
      <c r="AL177" s="13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4"/>
      <c r="BK177" s="14"/>
      <c r="BL177" s="14"/>
    </row>
    <row r="178" ht="15.75" customHeight="1">
      <c r="A178" s="2"/>
      <c r="B178" s="4"/>
      <c r="C178" s="2"/>
      <c r="D178" s="2"/>
      <c r="E178" s="2"/>
      <c r="F178" s="3"/>
      <c r="G178" s="2"/>
      <c r="H178" s="2"/>
      <c r="I178" s="2"/>
      <c r="J178" s="5"/>
      <c r="K178" s="5"/>
      <c r="L178" s="5"/>
      <c r="M178" s="6"/>
      <c r="N178" s="7"/>
      <c r="O178" s="2"/>
      <c r="P178" s="2"/>
      <c r="Q178" s="2"/>
      <c r="R178" s="15"/>
      <c r="S178" s="16"/>
      <c r="T178" s="1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7"/>
      <c r="AJ178" s="12"/>
      <c r="AK178" s="12"/>
      <c r="AL178" s="13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4"/>
      <c r="BK178" s="14"/>
      <c r="BL178" s="14"/>
    </row>
    <row r="179" ht="15.75" customHeight="1">
      <c r="A179" s="2"/>
      <c r="B179" s="4"/>
      <c r="C179" s="2"/>
      <c r="D179" s="2"/>
      <c r="E179" s="2"/>
      <c r="F179" s="3"/>
      <c r="G179" s="2"/>
      <c r="H179" s="2"/>
      <c r="I179" s="2"/>
      <c r="J179" s="5"/>
      <c r="K179" s="5"/>
      <c r="L179" s="5"/>
      <c r="M179" s="6"/>
      <c r="N179" s="7"/>
      <c r="O179" s="2"/>
      <c r="P179" s="2"/>
      <c r="Q179" s="2"/>
      <c r="R179" s="15"/>
      <c r="S179" s="16"/>
      <c r="T179" s="1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7"/>
      <c r="AJ179" s="12"/>
      <c r="AK179" s="12"/>
      <c r="AL179" s="13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4"/>
      <c r="BK179" s="14"/>
      <c r="BL179" s="14"/>
    </row>
    <row r="180" ht="15.75" customHeight="1">
      <c r="A180" s="2"/>
      <c r="B180" s="4"/>
      <c r="C180" s="2"/>
      <c r="D180" s="2"/>
      <c r="E180" s="2"/>
      <c r="F180" s="3"/>
      <c r="G180" s="2"/>
      <c r="H180" s="2"/>
      <c r="I180" s="2"/>
      <c r="J180" s="5"/>
      <c r="K180" s="5"/>
      <c r="L180" s="5"/>
      <c r="M180" s="6"/>
      <c r="N180" s="7"/>
      <c r="O180" s="2"/>
      <c r="P180" s="2"/>
      <c r="Q180" s="2"/>
      <c r="R180" s="15"/>
      <c r="S180" s="16"/>
      <c r="T180" s="1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7"/>
      <c r="AJ180" s="12"/>
      <c r="AK180" s="12"/>
      <c r="AL180" s="13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4"/>
      <c r="BK180" s="14"/>
      <c r="BL180" s="14"/>
    </row>
    <row r="181" ht="15.75" customHeight="1">
      <c r="A181" s="2"/>
      <c r="B181" s="4"/>
      <c r="C181" s="2"/>
      <c r="D181" s="2"/>
      <c r="E181" s="2"/>
      <c r="F181" s="3"/>
      <c r="G181" s="2"/>
      <c r="H181" s="2"/>
      <c r="I181" s="2"/>
      <c r="J181" s="5"/>
      <c r="K181" s="5"/>
      <c r="L181" s="5"/>
      <c r="M181" s="6"/>
      <c r="N181" s="7"/>
      <c r="O181" s="2"/>
      <c r="P181" s="2"/>
      <c r="Q181" s="2"/>
      <c r="R181" s="15"/>
      <c r="S181" s="16"/>
      <c r="T181" s="1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7"/>
      <c r="AJ181" s="12"/>
      <c r="AK181" s="12"/>
      <c r="AL181" s="13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4"/>
      <c r="BK181" s="14"/>
      <c r="BL181" s="14"/>
    </row>
    <row r="182" ht="15.75" customHeight="1">
      <c r="A182" s="2"/>
      <c r="B182" s="4"/>
      <c r="C182" s="2"/>
      <c r="D182" s="2"/>
      <c r="E182" s="2"/>
      <c r="F182" s="3"/>
      <c r="G182" s="2"/>
      <c r="H182" s="2"/>
      <c r="I182" s="2"/>
      <c r="J182" s="5"/>
      <c r="K182" s="5"/>
      <c r="L182" s="5"/>
      <c r="M182" s="6"/>
      <c r="N182" s="7"/>
      <c r="O182" s="2"/>
      <c r="P182" s="2"/>
      <c r="Q182" s="2"/>
      <c r="R182" s="15"/>
      <c r="S182" s="16"/>
      <c r="T182" s="1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7"/>
      <c r="AJ182" s="12"/>
      <c r="AK182" s="12"/>
      <c r="AL182" s="13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4"/>
      <c r="BK182" s="14"/>
      <c r="BL182" s="14"/>
    </row>
    <row r="183" ht="15.75" customHeight="1">
      <c r="A183" s="2"/>
      <c r="B183" s="4"/>
      <c r="C183" s="2"/>
      <c r="D183" s="2"/>
      <c r="E183" s="2"/>
      <c r="F183" s="3"/>
      <c r="G183" s="2"/>
      <c r="H183" s="2"/>
      <c r="I183" s="2"/>
      <c r="J183" s="5"/>
      <c r="K183" s="5"/>
      <c r="L183" s="5"/>
      <c r="M183" s="6"/>
      <c r="N183" s="7"/>
      <c r="O183" s="2"/>
      <c r="P183" s="2"/>
      <c r="Q183" s="2"/>
      <c r="R183" s="15"/>
      <c r="S183" s="16"/>
      <c r="T183" s="1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7"/>
      <c r="AJ183" s="12"/>
      <c r="AK183" s="12"/>
      <c r="AL183" s="13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4"/>
      <c r="BK183" s="14"/>
      <c r="BL183" s="14"/>
    </row>
    <row r="184" ht="15.75" customHeight="1">
      <c r="A184" s="2"/>
      <c r="B184" s="4"/>
      <c r="C184" s="2"/>
      <c r="D184" s="2"/>
      <c r="E184" s="2"/>
      <c r="F184" s="3"/>
      <c r="G184" s="2"/>
      <c r="H184" s="2"/>
      <c r="I184" s="2"/>
      <c r="J184" s="5"/>
      <c r="K184" s="5"/>
      <c r="L184" s="5"/>
      <c r="M184" s="6"/>
      <c r="N184" s="7"/>
      <c r="O184" s="2"/>
      <c r="P184" s="2"/>
      <c r="Q184" s="2"/>
      <c r="R184" s="15"/>
      <c r="S184" s="16"/>
      <c r="T184" s="1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7"/>
      <c r="AJ184" s="12"/>
      <c r="AK184" s="12"/>
      <c r="AL184" s="13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4"/>
      <c r="BK184" s="14"/>
      <c r="BL184" s="14"/>
    </row>
    <row r="185" ht="15.75" customHeight="1">
      <c r="A185" s="2"/>
      <c r="B185" s="4"/>
      <c r="C185" s="2"/>
      <c r="D185" s="2"/>
      <c r="E185" s="2"/>
      <c r="F185" s="3"/>
      <c r="G185" s="2"/>
      <c r="H185" s="2"/>
      <c r="I185" s="2"/>
      <c r="J185" s="5"/>
      <c r="K185" s="5"/>
      <c r="L185" s="5"/>
      <c r="M185" s="6"/>
      <c r="N185" s="7"/>
      <c r="O185" s="2"/>
      <c r="P185" s="2"/>
      <c r="Q185" s="2"/>
      <c r="R185" s="15"/>
      <c r="S185" s="16"/>
      <c r="T185" s="1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7"/>
      <c r="AJ185" s="12"/>
      <c r="AK185" s="12"/>
      <c r="AL185" s="13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4"/>
      <c r="BK185" s="14"/>
      <c r="BL185" s="14"/>
    </row>
    <row r="186" ht="15.75" customHeight="1">
      <c r="A186" s="2"/>
      <c r="B186" s="4"/>
      <c r="C186" s="2"/>
      <c r="D186" s="2"/>
      <c r="E186" s="2"/>
      <c r="F186" s="3"/>
      <c r="G186" s="2"/>
      <c r="H186" s="2"/>
      <c r="I186" s="2"/>
      <c r="J186" s="5"/>
      <c r="K186" s="5"/>
      <c r="L186" s="5"/>
      <c r="M186" s="6"/>
      <c r="N186" s="7"/>
      <c r="O186" s="2"/>
      <c r="P186" s="2"/>
      <c r="Q186" s="2"/>
      <c r="R186" s="15"/>
      <c r="S186" s="16"/>
      <c r="T186" s="1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7"/>
      <c r="AJ186" s="12"/>
      <c r="AK186" s="12"/>
      <c r="AL186" s="13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4"/>
      <c r="BK186" s="14"/>
      <c r="BL186" s="14"/>
    </row>
    <row r="187" ht="15.75" customHeight="1">
      <c r="A187" s="2"/>
      <c r="B187" s="4"/>
      <c r="C187" s="2"/>
      <c r="D187" s="2"/>
      <c r="E187" s="2"/>
      <c r="F187" s="3"/>
      <c r="G187" s="2"/>
      <c r="H187" s="2"/>
      <c r="I187" s="2"/>
      <c r="J187" s="5"/>
      <c r="K187" s="5"/>
      <c r="L187" s="5"/>
      <c r="M187" s="6"/>
      <c r="N187" s="7"/>
      <c r="O187" s="2"/>
      <c r="P187" s="2"/>
      <c r="Q187" s="2"/>
      <c r="R187" s="15"/>
      <c r="S187" s="16"/>
      <c r="T187" s="1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7"/>
      <c r="AJ187" s="12"/>
      <c r="AK187" s="12"/>
      <c r="AL187" s="13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4"/>
      <c r="BK187" s="14"/>
      <c r="BL187" s="14"/>
    </row>
    <row r="188" ht="15.75" customHeight="1">
      <c r="A188" s="2"/>
      <c r="B188" s="4"/>
      <c r="C188" s="2"/>
      <c r="D188" s="2"/>
      <c r="E188" s="2"/>
      <c r="F188" s="3"/>
      <c r="G188" s="2"/>
      <c r="H188" s="2"/>
      <c r="I188" s="2"/>
      <c r="J188" s="5"/>
      <c r="K188" s="5"/>
      <c r="L188" s="5"/>
      <c r="M188" s="6"/>
      <c r="N188" s="7"/>
      <c r="O188" s="2"/>
      <c r="P188" s="2"/>
      <c r="Q188" s="2"/>
      <c r="R188" s="15"/>
      <c r="S188" s="16"/>
      <c r="T188" s="16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7"/>
      <c r="AJ188" s="12"/>
      <c r="AK188" s="12"/>
      <c r="AL188" s="13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4"/>
      <c r="BK188" s="14"/>
      <c r="BL188" s="14"/>
    </row>
    <row r="189" ht="15.75" customHeight="1">
      <c r="A189" s="2"/>
      <c r="B189" s="4"/>
      <c r="C189" s="2"/>
      <c r="D189" s="2"/>
      <c r="E189" s="2"/>
      <c r="F189" s="3"/>
      <c r="G189" s="2"/>
      <c r="H189" s="2"/>
      <c r="I189" s="2"/>
      <c r="J189" s="5"/>
      <c r="K189" s="5"/>
      <c r="L189" s="5"/>
      <c r="M189" s="6"/>
      <c r="N189" s="7"/>
      <c r="O189" s="2"/>
      <c r="P189" s="2"/>
      <c r="Q189" s="2"/>
      <c r="R189" s="15"/>
      <c r="S189" s="16"/>
      <c r="T189" s="16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7"/>
      <c r="AJ189" s="12"/>
      <c r="AK189" s="12"/>
      <c r="AL189" s="13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4"/>
      <c r="BK189" s="14"/>
      <c r="BL189" s="14"/>
    </row>
    <row r="190" ht="15.75" customHeight="1">
      <c r="A190" s="2"/>
      <c r="B190" s="4"/>
      <c r="C190" s="2"/>
      <c r="D190" s="2"/>
      <c r="E190" s="2"/>
      <c r="F190" s="3"/>
      <c r="G190" s="2"/>
      <c r="H190" s="2"/>
      <c r="I190" s="2"/>
      <c r="J190" s="5"/>
      <c r="K190" s="5"/>
      <c r="L190" s="5"/>
      <c r="M190" s="6"/>
      <c r="N190" s="7"/>
      <c r="O190" s="2"/>
      <c r="P190" s="2"/>
      <c r="Q190" s="2"/>
      <c r="R190" s="15"/>
      <c r="S190" s="16"/>
      <c r="T190" s="16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7"/>
      <c r="AJ190" s="12"/>
      <c r="AK190" s="12"/>
      <c r="AL190" s="13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4"/>
      <c r="BK190" s="14"/>
      <c r="BL190" s="14"/>
    </row>
    <row r="191" ht="15.75" customHeight="1">
      <c r="A191" s="2"/>
      <c r="B191" s="4"/>
      <c r="C191" s="2"/>
      <c r="D191" s="2"/>
      <c r="E191" s="2"/>
      <c r="F191" s="3"/>
      <c r="G191" s="2"/>
      <c r="H191" s="2"/>
      <c r="I191" s="2"/>
      <c r="J191" s="5"/>
      <c r="K191" s="5"/>
      <c r="L191" s="5"/>
      <c r="M191" s="6"/>
      <c r="N191" s="7"/>
      <c r="O191" s="2"/>
      <c r="P191" s="2"/>
      <c r="Q191" s="2"/>
      <c r="R191" s="15"/>
      <c r="S191" s="16"/>
      <c r="T191" s="16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7"/>
      <c r="AJ191" s="12"/>
      <c r="AK191" s="12"/>
      <c r="AL191" s="13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4"/>
      <c r="BK191" s="14"/>
      <c r="BL191" s="14"/>
    </row>
    <row r="192" ht="15.75" customHeight="1">
      <c r="A192" s="2"/>
      <c r="B192" s="4"/>
      <c r="C192" s="2"/>
      <c r="D192" s="2"/>
      <c r="E192" s="2"/>
      <c r="F192" s="3"/>
      <c r="G192" s="2"/>
      <c r="H192" s="2"/>
      <c r="I192" s="2"/>
      <c r="J192" s="5"/>
      <c r="K192" s="5"/>
      <c r="L192" s="5"/>
      <c r="M192" s="6"/>
      <c r="N192" s="7"/>
      <c r="O192" s="2"/>
      <c r="P192" s="2"/>
      <c r="Q192" s="2"/>
      <c r="R192" s="15"/>
      <c r="S192" s="16"/>
      <c r="T192" s="16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7"/>
      <c r="AJ192" s="12"/>
      <c r="AK192" s="12"/>
      <c r="AL192" s="13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4"/>
      <c r="BK192" s="14"/>
      <c r="BL192" s="14"/>
    </row>
    <row r="193" ht="15.75" customHeight="1">
      <c r="A193" s="2"/>
      <c r="B193" s="4"/>
      <c r="C193" s="2"/>
      <c r="D193" s="2"/>
      <c r="E193" s="2"/>
      <c r="F193" s="3"/>
      <c r="G193" s="2"/>
      <c r="H193" s="2"/>
      <c r="I193" s="2"/>
      <c r="J193" s="5"/>
      <c r="K193" s="5"/>
      <c r="L193" s="5"/>
      <c r="M193" s="6"/>
      <c r="N193" s="7"/>
      <c r="O193" s="2"/>
      <c r="P193" s="2"/>
      <c r="Q193" s="2"/>
      <c r="R193" s="15"/>
      <c r="S193" s="16"/>
      <c r="T193" s="16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7"/>
      <c r="AJ193" s="12"/>
      <c r="AK193" s="12"/>
      <c r="AL193" s="13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4"/>
      <c r="BK193" s="14"/>
      <c r="BL193" s="14"/>
    </row>
    <row r="194" ht="15.75" customHeight="1">
      <c r="A194" s="2"/>
      <c r="B194" s="4"/>
      <c r="C194" s="2"/>
      <c r="D194" s="2"/>
      <c r="E194" s="2"/>
      <c r="F194" s="3"/>
      <c r="G194" s="2"/>
      <c r="H194" s="2"/>
      <c r="I194" s="2"/>
      <c r="J194" s="5"/>
      <c r="K194" s="5"/>
      <c r="L194" s="5"/>
      <c r="M194" s="6"/>
      <c r="N194" s="7"/>
      <c r="O194" s="2"/>
      <c r="P194" s="2"/>
      <c r="Q194" s="2"/>
      <c r="R194" s="15"/>
      <c r="S194" s="16"/>
      <c r="T194" s="16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7"/>
      <c r="AJ194" s="12"/>
      <c r="AK194" s="12"/>
      <c r="AL194" s="13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4"/>
      <c r="BK194" s="14"/>
      <c r="BL194" s="14"/>
    </row>
    <row r="195" ht="15.75" customHeight="1">
      <c r="A195" s="2"/>
      <c r="B195" s="4"/>
      <c r="C195" s="2"/>
      <c r="D195" s="2"/>
      <c r="E195" s="2"/>
      <c r="F195" s="3"/>
      <c r="G195" s="2"/>
      <c r="H195" s="2"/>
      <c r="I195" s="2"/>
      <c r="J195" s="5"/>
      <c r="K195" s="5"/>
      <c r="L195" s="5"/>
      <c r="M195" s="6"/>
      <c r="N195" s="7"/>
      <c r="O195" s="2"/>
      <c r="P195" s="2"/>
      <c r="Q195" s="2"/>
      <c r="R195" s="15"/>
      <c r="S195" s="16"/>
      <c r="T195" s="16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7"/>
      <c r="AJ195" s="12"/>
      <c r="AK195" s="12"/>
      <c r="AL195" s="13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4"/>
      <c r="BK195" s="14"/>
      <c r="BL195" s="14"/>
    </row>
    <row r="196" ht="15.75" customHeight="1">
      <c r="A196" s="2"/>
      <c r="B196" s="4"/>
      <c r="C196" s="2"/>
      <c r="D196" s="2"/>
      <c r="E196" s="2"/>
      <c r="F196" s="3"/>
      <c r="G196" s="2"/>
      <c r="H196" s="2"/>
      <c r="I196" s="2"/>
      <c r="J196" s="5"/>
      <c r="K196" s="5"/>
      <c r="L196" s="5"/>
      <c r="M196" s="6"/>
      <c r="N196" s="7"/>
      <c r="O196" s="2"/>
      <c r="P196" s="2"/>
      <c r="Q196" s="2"/>
      <c r="R196" s="15"/>
      <c r="S196" s="16"/>
      <c r="T196" s="16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7"/>
      <c r="AJ196" s="12"/>
      <c r="AK196" s="12"/>
      <c r="AL196" s="13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4"/>
      <c r="BK196" s="14"/>
      <c r="BL196" s="14"/>
    </row>
    <row r="197" ht="15.75" customHeight="1">
      <c r="A197" s="2"/>
      <c r="B197" s="4"/>
      <c r="C197" s="2"/>
      <c r="D197" s="2"/>
      <c r="E197" s="2"/>
      <c r="F197" s="3"/>
      <c r="G197" s="2"/>
      <c r="H197" s="2"/>
      <c r="I197" s="2"/>
      <c r="J197" s="5"/>
      <c r="K197" s="5"/>
      <c r="L197" s="5"/>
      <c r="M197" s="6"/>
      <c r="N197" s="7"/>
      <c r="O197" s="2"/>
      <c r="P197" s="2"/>
      <c r="Q197" s="2"/>
      <c r="R197" s="15"/>
      <c r="S197" s="16"/>
      <c r="T197" s="16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7"/>
      <c r="AJ197" s="12"/>
      <c r="AK197" s="12"/>
      <c r="AL197" s="13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4"/>
      <c r="BK197" s="14"/>
      <c r="BL197" s="14"/>
    </row>
    <row r="198" ht="15.75" customHeight="1">
      <c r="A198" s="2"/>
      <c r="B198" s="4"/>
      <c r="C198" s="2"/>
      <c r="D198" s="2"/>
      <c r="E198" s="2"/>
      <c r="F198" s="3"/>
      <c r="G198" s="2"/>
      <c r="H198" s="2"/>
      <c r="I198" s="2"/>
      <c r="J198" s="5"/>
      <c r="K198" s="5"/>
      <c r="L198" s="5"/>
      <c r="M198" s="6"/>
      <c r="N198" s="7"/>
      <c r="O198" s="2"/>
      <c r="P198" s="2"/>
      <c r="Q198" s="2"/>
      <c r="R198" s="15"/>
      <c r="S198" s="16"/>
      <c r="T198" s="16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7"/>
      <c r="AJ198" s="12"/>
      <c r="AK198" s="12"/>
      <c r="AL198" s="13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4"/>
      <c r="BK198" s="14"/>
      <c r="BL198" s="14"/>
    </row>
    <row r="199" ht="15.75" customHeight="1">
      <c r="A199" s="2"/>
      <c r="B199" s="4"/>
      <c r="C199" s="2"/>
      <c r="D199" s="2"/>
      <c r="E199" s="2"/>
      <c r="F199" s="3"/>
      <c r="G199" s="2"/>
      <c r="H199" s="2"/>
      <c r="I199" s="2"/>
      <c r="J199" s="5"/>
      <c r="K199" s="5"/>
      <c r="L199" s="5"/>
      <c r="M199" s="6"/>
      <c r="N199" s="7"/>
      <c r="O199" s="2"/>
      <c r="P199" s="2"/>
      <c r="Q199" s="2"/>
      <c r="R199" s="15"/>
      <c r="S199" s="16"/>
      <c r="T199" s="16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7"/>
      <c r="AJ199" s="12"/>
      <c r="AK199" s="12"/>
      <c r="AL199" s="13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4"/>
      <c r="BK199" s="14"/>
      <c r="BL199" s="14"/>
    </row>
    <row r="200" ht="15.75" customHeight="1">
      <c r="A200" s="2"/>
      <c r="B200" s="4"/>
      <c r="C200" s="2"/>
      <c r="D200" s="2"/>
      <c r="E200" s="2"/>
      <c r="F200" s="3"/>
      <c r="G200" s="2"/>
      <c r="H200" s="2"/>
      <c r="I200" s="2"/>
      <c r="J200" s="5"/>
      <c r="K200" s="5"/>
      <c r="L200" s="5"/>
      <c r="M200" s="6"/>
      <c r="N200" s="7"/>
      <c r="O200" s="2"/>
      <c r="P200" s="2"/>
      <c r="Q200" s="2"/>
      <c r="R200" s="15"/>
      <c r="S200" s="16"/>
      <c r="T200" s="16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7"/>
      <c r="AJ200" s="12"/>
      <c r="AK200" s="12"/>
      <c r="AL200" s="13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4"/>
      <c r="BK200" s="14"/>
      <c r="BL200" s="14"/>
    </row>
    <row r="201" ht="15.75" customHeight="1">
      <c r="A201" s="2"/>
      <c r="B201" s="4"/>
      <c r="C201" s="2"/>
      <c r="D201" s="2"/>
      <c r="E201" s="2"/>
      <c r="F201" s="3"/>
      <c r="G201" s="2"/>
      <c r="H201" s="2"/>
      <c r="I201" s="2"/>
      <c r="J201" s="5"/>
      <c r="K201" s="5"/>
      <c r="L201" s="5"/>
      <c r="M201" s="6"/>
      <c r="N201" s="7"/>
      <c r="O201" s="2"/>
      <c r="P201" s="2"/>
      <c r="Q201" s="2"/>
      <c r="R201" s="15"/>
      <c r="S201" s="16"/>
      <c r="T201" s="16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7"/>
      <c r="AJ201" s="12"/>
      <c r="AK201" s="12"/>
      <c r="AL201" s="13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4"/>
      <c r="BK201" s="14"/>
      <c r="BL201" s="14"/>
    </row>
    <row r="202" ht="15.75" customHeight="1">
      <c r="A202" s="2"/>
      <c r="B202" s="4"/>
      <c r="C202" s="2"/>
      <c r="D202" s="2"/>
      <c r="E202" s="2"/>
      <c r="F202" s="3"/>
      <c r="G202" s="2"/>
      <c r="H202" s="2"/>
      <c r="I202" s="2"/>
      <c r="J202" s="5"/>
      <c r="K202" s="5"/>
      <c r="L202" s="5"/>
      <c r="M202" s="6"/>
      <c r="N202" s="7"/>
      <c r="O202" s="2"/>
      <c r="P202" s="2"/>
      <c r="Q202" s="2"/>
      <c r="R202" s="15"/>
      <c r="S202" s="16"/>
      <c r="T202" s="16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7"/>
      <c r="AJ202" s="12"/>
      <c r="AK202" s="12"/>
      <c r="AL202" s="13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4"/>
      <c r="BK202" s="14"/>
      <c r="BL202" s="14"/>
    </row>
    <row r="203" ht="15.75" customHeight="1">
      <c r="A203" s="2"/>
      <c r="B203" s="4"/>
      <c r="C203" s="2"/>
      <c r="D203" s="2"/>
      <c r="E203" s="2"/>
      <c r="F203" s="3"/>
      <c r="G203" s="2"/>
      <c r="H203" s="2"/>
      <c r="I203" s="2"/>
      <c r="J203" s="5"/>
      <c r="K203" s="5"/>
      <c r="L203" s="5"/>
      <c r="M203" s="6"/>
      <c r="N203" s="7"/>
      <c r="O203" s="2"/>
      <c r="P203" s="2"/>
      <c r="Q203" s="2"/>
      <c r="R203" s="15"/>
      <c r="S203" s="16"/>
      <c r="T203" s="16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7"/>
      <c r="AJ203" s="12"/>
      <c r="AK203" s="12"/>
      <c r="AL203" s="13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4"/>
      <c r="BK203" s="14"/>
      <c r="BL203" s="14"/>
    </row>
    <row r="204" ht="15.75" customHeight="1">
      <c r="A204" s="2"/>
      <c r="B204" s="4"/>
      <c r="C204" s="2"/>
      <c r="D204" s="2"/>
      <c r="E204" s="2"/>
      <c r="F204" s="3"/>
      <c r="G204" s="2"/>
      <c r="H204" s="2"/>
      <c r="I204" s="2"/>
      <c r="J204" s="5"/>
      <c r="K204" s="5"/>
      <c r="L204" s="5"/>
      <c r="M204" s="6"/>
      <c r="N204" s="7"/>
      <c r="O204" s="2"/>
      <c r="P204" s="2"/>
      <c r="Q204" s="2"/>
      <c r="R204" s="15"/>
      <c r="S204" s="16"/>
      <c r="T204" s="16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7"/>
      <c r="AJ204" s="12"/>
      <c r="AK204" s="12"/>
      <c r="AL204" s="13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4"/>
      <c r="BK204" s="14"/>
      <c r="BL204" s="14"/>
    </row>
    <row r="205" ht="15.75" customHeight="1">
      <c r="A205" s="2"/>
      <c r="B205" s="4"/>
      <c r="C205" s="2"/>
      <c r="D205" s="2"/>
      <c r="E205" s="2"/>
      <c r="F205" s="3"/>
      <c r="G205" s="2"/>
      <c r="H205" s="2"/>
      <c r="I205" s="2"/>
      <c r="J205" s="5"/>
      <c r="K205" s="5"/>
      <c r="L205" s="5"/>
      <c r="M205" s="6"/>
      <c r="N205" s="7"/>
      <c r="O205" s="2"/>
      <c r="P205" s="2"/>
      <c r="Q205" s="2"/>
      <c r="R205" s="15"/>
      <c r="S205" s="16"/>
      <c r="T205" s="16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7"/>
      <c r="AJ205" s="12"/>
      <c r="AK205" s="12"/>
      <c r="AL205" s="13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4"/>
      <c r="BK205" s="14"/>
      <c r="BL205" s="14"/>
    </row>
    <row r="206" ht="15.75" customHeight="1">
      <c r="A206" s="2"/>
      <c r="B206" s="4"/>
      <c r="C206" s="2"/>
      <c r="D206" s="2"/>
      <c r="E206" s="2"/>
      <c r="F206" s="3"/>
      <c r="G206" s="2"/>
      <c r="H206" s="2"/>
      <c r="I206" s="2"/>
      <c r="J206" s="5"/>
      <c r="K206" s="5"/>
      <c r="L206" s="5"/>
      <c r="M206" s="6"/>
      <c r="N206" s="7"/>
      <c r="O206" s="2"/>
      <c r="P206" s="2"/>
      <c r="Q206" s="2"/>
      <c r="R206" s="15"/>
      <c r="S206" s="16"/>
      <c r="T206" s="16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7"/>
      <c r="AJ206" s="12"/>
      <c r="AK206" s="12"/>
      <c r="AL206" s="13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4"/>
      <c r="BK206" s="14"/>
      <c r="BL206" s="14"/>
    </row>
    <row r="207" ht="15.75" customHeight="1">
      <c r="A207" s="2"/>
      <c r="B207" s="4"/>
      <c r="C207" s="2"/>
      <c r="D207" s="2"/>
      <c r="E207" s="2"/>
      <c r="F207" s="3"/>
      <c r="G207" s="2"/>
      <c r="H207" s="2"/>
      <c r="I207" s="2"/>
      <c r="J207" s="5"/>
      <c r="K207" s="5"/>
      <c r="L207" s="5"/>
      <c r="M207" s="6"/>
      <c r="N207" s="7"/>
      <c r="O207" s="2"/>
      <c r="P207" s="2"/>
      <c r="Q207" s="2"/>
      <c r="R207" s="15"/>
      <c r="S207" s="16"/>
      <c r="T207" s="16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7"/>
      <c r="AJ207" s="12"/>
      <c r="AK207" s="12"/>
      <c r="AL207" s="13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4"/>
      <c r="BK207" s="14"/>
      <c r="BL207" s="14"/>
    </row>
    <row r="208" ht="15.75" customHeight="1">
      <c r="A208" s="2"/>
      <c r="B208" s="4"/>
      <c r="C208" s="2"/>
      <c r="D208" s="2"/>
      <c r="E208" s="2"/>
      <c r="F208" s="3"/>
      <c r="G208" s="2"/>
      <c r="H208" s="2"/>
      <c r="I208" s="2"/>
      <c r="J208" s="5"/>
      <c r="K208" s="5"/>
      <c r="L208" s="5"/>
      <c r="M208" s="6"/>
      <c r="N208" s="7"/>
      <c r="O208" s="2"/>
      <c r="P208" s="2"/>
      <c r="Q208" s="2"/>
      <c r="R208" s="15"/>
      <c r="S208" s="16"/>
      <c r="T208" s="16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7"/>
      <c r="AJ208" s="12"/>
      <c r="AK208" s="12"/>
      <c r="AL208" s="13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4"/>
      <c r="BK208" s="14"/>
      <c r="BL208" s="14"/>
    </row>
    <row r="209" ht="15.75" customHeight="1">
      <c r="A209" s="2"/>
      <c r="B209" s="4"/>
      <c r="C209" s="2"/>
      <c r="D209" s="2"/>
      <c r="E209" s="2"/>
      <c r="F209" s="3"/>
      <c r="G209" s="2"/>
      <c r="H209" s="2"/>
      <c r="I209" s="2"/>
      <c r="J209" s="5"/>
      <c r="K209" s="5"/>
      <c r="L209" s="5"/>
      <c r="M209" s="6"/>
      <c r="N209" s="7"/>
      <c r="O209" s="2"/>
      <c r="P209" s="2"/>
      <c r="Q209" s="2"/>
      <c r="R209" s="15"/>
      <c r="S209" s="16"/>
      <c r="T209" s="16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7"/>
      <c r="AJ209" s="12"/>
      <c r="AK209" s="12"/>
      <c r="AL209" s="13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4"/>
      <c r="BK209" s="14"/>
      <c r="BL209" s="14"/>
    </row>
    <row r="210" ht="15.75" customHeight="1">
      <c r="A210" s="2"/>
      <c r="B210" s="4"/>
      <c r="C210" s="2"/>
      <c r="D210" s="2"/>
      <c r="E210" s="2"/>
      <c r="F210" s="3"/>
      <c r="G210" s="2"/>
      <c r="H210" s="2"/>
      <c r="I210" s="2"/>
      <c r="J210" s="5"/>
      <c r="K210" s="5"/>
      <c r="L210" s="5"/>
      <c r="M210" s="6"/>
      <c r="N210" s="7"/>
      <c r="O210" s="2"/>
      <c r="P210" s="2"/>
      <c r="Q210" s="2"/>
      <c r="R210" s="15"/>
      <c r="S210" s="16"/>
      <c r="T210" s="16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7"/>
      <c r="AJ210" s="12"/>
      <c r="AK210" s="12"/>
      <c r="AL210" s="13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4"/>
      <c r="BK210" s="14"/>
      <c r="BL210" s="14"/>
    </row>
    <row r="211" ht="15.75" customHeight="1">
      <c r="A211" s="2"/>
      <c r="B211" s="4"/>
      <c r="C211" s="2"/>
      <c r="D211" s="2"/>
      <c r="E211" s="2"/>
      <c r="F211" s="3"/>
      <c r="G211" s="2"/>
      <c r="H211" s="2"/>
      <c r="I211" s="2"/>
      <c r="J211" s="5"/>
      <c r="K211" s="5"/>
      <c r="L211" s="5"/>
      <c r="M211" s="6"/>
      <c r="N211" s="7"/>
      <c r="O211" s="2"/>
      <c r="P211" s="2"/>
      <c r="Q211" s="2"/>
      <c r="R211" s="15"/>
      <c r="S211" s="16"/>
      <c r="T211" s="16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7"/>
      <c r="AJ211" s="12"/>
      <c r="AK211" s="12"/>
      <c r="AL211" s="13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4"/>
      <c r="BK211" s="14"/>
      <c r="BL211" s="14"/>
    </row>
    <row r="212" ht="15.75" customHeight="1">
      <c r="A212" s="2"/>
      <c r="B212" s="4"/>
      <c r="C212" s="2"/>
      <c r="D212" s="2"/>
      <c r="E212" s="2"/>
      <c r="F212" s="3"/>
      <c r="G212" s="2"/>
      <c r="H212" s="2"/>
      <c r="I212" s="2"/>
      <c r="J212" s="5"/>
      <c r="K212" s="5"/>
      <c r="L212" s="5"/>
      <c r="M212" s="6"/>
      <c r="N212" s="7"/>
      <c r="O212" s="2"/>
      <c r="P212" s="2"/>
      <c r="Q212" s="2"/>
      <c r="R212" s="15"/>
      <c r="S212" s="16"/>
      <c r="T212" s="16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7"/>
      <c r="AJ212" s="12"/>
      <c r="AK212" s="12"/>
      <c r="AL212" s="13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4"/>
      <c r="BK212" s="14"/>
      <c r="BL212" s="14"/>
    </row>
    <row r="213" ht="15.75" customHeight="1">
      <c r="A213" s="2"/>
      <c r="B213" s="4"/>
      <c r="C213" s="2"/>
      <c r="D213" s="2"/>
      <c r="E213" s="2"/>
      <c r="F213" s="3"/>
      <c r="G213" s="2"/>
      <c r="H213" s="2"/>
      <c r="I213" s="2"/>
      <c r="J213" s="5"/>
      <c r="K213" s="5"/>
      <c r="L213" s="5"/>
      <c r="M213" s="6"/>
      <c r="N213" s="7"/>
      <c r="O213" s="2"/>
      <c r="P213" s="2"/>
      <c r="Q213" s="2"/>
      <c r="R213" s="15"/>
      <c r="S213" s="16"/>
      <c r="T213" s="16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7"/>
      <c r="AJ213" s="12"/>
      <c r="AK213" s="12"/>
      <c r="AL213" s="13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4"/>
      <c r="BK213" s="14"/>
      <c r="BL213" s="14"/>
    </row>
    <row r="214" ht="15.75" customHeight="1">
      <c r="A214" s="2"/>
      <c r="B214" s="4"/>
      <c r="C214" s="2"/>
      <c r="D214" s="2"/>
      <c r="E214" s="2"/>
      <c r="F214" s="3"/>
      <c r="G214" s="2"/>
      <c r="H214" s="2"/>
      <c r="I214" s="2"/>
      <c r="J214" s="5"/>
      <c r="K214" s="5"/>
      <c r="L214" s="5"/>
      <c r="M214" s="6"/>
      <c r="N214" s="7"/>
      <c r="O214" s="2"/>
      <c r="P214" s="2"/>
      <c r="Q214" s="2"/>
      <c r="R214" s="15"/>
      <c r="S214" s="16"/>
      <c r="T214" s="16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7"/>
      <c r="AJ214" s="12"/>
      <c r="AK214" s="12"/>
      <c r="AL214" s="13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4"/>
      <c r="BK214" s="14"/>
      <c r="BL214" s="14"/>
    </row>
    <row r="215" ht="15.75" customHeight="1">
      <c r="A215" s="2"/>
      <c r="B215" s="4"/>
      <c r="C215" s="2"/>
      <c r="D215" s="2"/>
      <c r="E215" s="2"/>
      <c r="F215" s="3"/>
      <c r="G215" s="2"/>
      <c r="H215" s="2"/>
      <c r="I215" s="2"/>
      <c r="J215" s="5"/>
      <c r="K215" s="5"/>
      <c r="L215" s="5"/>
      <c r="M215" s="6"/>
      <c r="N215" s="7"/>
      <c r="O215" s="2"/>
      <c r="P215" s="2"/>
      <c r="Q215" s="2"/>
      <c r="R215" s="15"/>
      <c r="S215" s="16"/>
      <c r="T215" s="16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7"/>
      <c r="AJ215" s="12"/>
      <c r="AK215" s="12"/>
      <c r="AL215" s="13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4"/>
      <c r="BK215" s="14"/>
      <c r="BL215" s="14"/>
    </row>
    <row r="216" ht="15.75" customHeight="1">
      <c r="A216" s="2"/>
      <c r="B216" s="4"/>
      <c r="C216" s="2"/>
      <c r="D216" s="2"/>
      <c r="E216" s="2"/>
      <c r="F216" s="3"/>
      <c r="G216" s="2"/>
      <c r="H216" s="2"/>
      <c r="I216" s="2"/>
      <c r="J216" s="5"/>
      <c r="K216" s="5"/>
      <c r="L216" s="5"/>
      <c r="M216" s="6"/>
      <c r="N216" s="7"/>
      <c r="O216" s="2"/>
      <c r="P216" s="2"/>
      <c r="Q216" s="2"/>
      <c r="R216" s="15"/>
      <c r="S216" s="16"/>
      <c r="T216" s="16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7"/>
      <c r="AJ216" s="12"/>
      <c r="AK216" s="12"/>
      <c r="AL216" s="13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4"/>
      <c r="BK216" s="14"/>
      <c r="BL216" s="14"/>
    </row>
    <row r="217" ht="15.75" customHeight="1">
      <c r="A217" s="2"/>
      <c r="B217" s="4"/>
      <c r="C217" s="2"/>
      <c r="D217" s="2"/>
      <c r="E217" s="2"/>
      <c r="F217" s="3"/>
      <c r="G217" s="2"/>
      <c r="H217" s="2"/>
      <c r="I217" s="2"/>
      <c r="J217" s="5"/>
      <c r="K217" s="5"/>
      <c r="L217" s="5"/>
      <c r="M217" s="6"/>
      <c r="N217" s="7"/>
      <c r="O217" s="2"/>
      <c r="P217" s="2"/>
      <c r="Q217" s="2"/>
      <c r="R217" s="15"/>
      <c r="S217" s="16"/>
      <c r="T217" s="16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7"/>
      <c r="AJ217" s="12"/>
      <c r="AK217" s="12"/>
      <c r="AL217" s="13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4"/>
      <c r="BK217" s="14"/>
      <c r="BL217" s="14"/>
    </row>
    <row r="218" ht="15.75" customHeight="1">
      <c r="A218" s="2"/>
      <c r="B218" s="4"/>
      <c r="C218" s="2"/>
      <c r="D218" s="2"/>
      <c r="E218" s="2"/>
      <c r="F218" s="3"/>
      <c r="G218" s="2"/>
      <c r="H218" s="2"/>
      <c r="I218" s="2"/>
      <c r="J218" s="5"/>
      <c r="K218" s="5"/>
      <c r="L218" s="5"/>
      <c r="M218" s="6"/>
      <c r="N218" s="7"/>
      <c r="O218" s="2"/>
      <c r="P218" s="2"/>
      <c r="Q218" s="2"/>
      <c r="R218" s="15"/>
      <c r="S218" s="16"/>
      <c r="T218" s="16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7"/>
      <c r="AJ218" s="12"/>
      <c r="AK218" s="12"/>
      <c r="AL218" s="13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4"/>
      <c r="BK218" s="14"/>
      <c r="BL218" s="14"/>
    </row>
    <row r="219" ht="15.75" customHeight="1">
      <c r="A219" s="2"/>
      <c r="B219" s="4"/>
      <c r="C219" s="2"/>
      <c r="D219" s="2"/>
      <c r="E219" s="2"/>
      <c r="F219" s="3"/>
      <c r="G219" s="2"/>
      <c r="H219" s="2"/>
      <c r="I219" s="2"/>
      <c r="J219" s="5"/>
      <c r="K219" s="5"/>
      <c r="L219" s="5"/>
      <c r="M219" s="6"/>
      <c r="N219" s="7"/>
      <c r="O219" s="2"/>
      <c r="P219" s="2"/>
      <c r="Q219" s="2"/>
      <c r="R219" s="15"/>
      <c r="S219" s="16"/>
      <c r="T219" s="16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7"/>
      <c r="AJ219" s="12"/>
      <c r="AK219" s="12"/>
      <c r="AL219" s="13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4"/>
      <c r="BK219" s="14"/>
      <c r="BL219" s="14"/>
    </row>
    <row r="220" ht="15.75" customHeight="1">
      <c r="A220" s="2"/>
      <c r="B220" s="4"/>
      <c r="C220" s="2"/>
      <c r="D220" s="2"/>
      <c r="E220" s="2"/>
      <c r="F220" s="3"/>
      <c r="G220" s="2"/>
      <c r="H220" s="2"/>
      <c r="I220" s="2"/>
      <c r="J220" s="5"/>
      <c r="K220" s="5"/>
      <c r="L220" s="5"/>
      <c r="M220" s="6"/>
      <c r="N220" s="7"/>
      <c r="O220" s="2"/>
      <c r="P220" s="2"/>
      <c r="Q220" s="2"/>
      <c r="R220" s="15"/>
      <c r="S220" s="16"/>
      <c r="T220" s="16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7"/>
      <c r="AJ220" s="12"/>
      <c r="AK220" s="12"/>
      <c r="AL220" s="13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4"/>
      <c r="BK220" s="14"/>
      <c r="BL220" s="14"/>
    </row>
    <row r="221" ht="15.75" customHeight="1">
      <c r="A221" s="2"/>
      <c r="B221" s="4"/>
      <c r="C221" s="2"/>
      <c r="D221" s="2"/>
      <c r="E221" s="2"/>
      <c r="F221" s="3"/>
      <c r="G221" s="2"/>
      <c r="H221" s="2"/>
      <c r="I221" s="2"/>
      <c r="J221" s="5"/>
      <c r="K221" s="5"/>
      <c r="L221" s="5"/>
      <c r="M221" s="6"/>
      <c r="N221" s="7"/>
      <c r="O221" s="2"/>
      <c r="P221" s="2"/>
      <c r="Q221" s="2"/>
      <c r="R221" s="15"/>
      <c r="S221" s="16"/>
      <c r="T221" s="16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7"/>
      <c r="AJ221" s="12"/>
      <c r="AK221" s="12"/>
      <c r="AL221" s="13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4"/>
      <c r="BK221" s="14"/>
      <c r="BL221" s="14"/>
    </row>
    <row r="222" ht="15.75" customHeight="1">
      <c r="A222" s="2"/>
      <c r="B222" s="4"/>
      <c r="C222" s="2"/>
      <c r="D222" s="2"/>
      <c r="E222" s="2"/>
      <c r="F222" s="3"/>
      <c r="G222" s="2"/>
      <c r="H222" s="2"/>
      <c r="I222" s="2"/>
      <c r="J222" s="5"/>
      <c r="K222" s="5"/>
      <c r="L222" s="5"/>
      <c r="M222" s="6"/>
      <c r="N222" s="7"/>
      <c r="O222" s="2"/>
      <c r="P222" s="2"/>
      <c r="Q222" s="2"/>
      <c r="R222" s="15"/>
      <c r="S222" s="16"/>
      <c r="T222" s="16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7"/>
      <c r="AJ222" s="12"/>
      <c r="AK222" s="12"/>
      <c r="AL222" s="13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4"/>
      <c r="BK222" s="14"/>
      <c r="BL222" s="14"/>
    </row>
    <row r="223" ht="15.75" customHeight="1">
      <c r="A223" s="2"/>
      <c r="B223" s="4"/>
      <c r="C223" s="2"/>
      <c r="D223" s="2"/>
      <c r="E223" s="2"/>
      <c r="F223" s="3"/>
      <c r="G223" s="2"/>
      <c r="H223" s="2"/>
      <c r="I223" s="2"/>
      <c r="J223" s="5"/>
      <c r="K223" s="5"/>
      <c r="L223" s="5"/>
      <c r="M223" s="6"/>
      <c r="N223" s="7"/>
      <c r="O223" s="2"/>
      <c r="P223" s="2"/>
      <c r="Q223" s="2"/>
      <c r="R223" s="15"/>
      <c r="S223" s="16"/>
      <c r="T223" s="16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7"/>
      <c r="AJ223" s="12"/>
      <c r="AK223" s="12"/>
      <c r="AL223" s="13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4"/>
      <c r="BK223" s="14"/>
      <c r="BL223" s="14"/>
    </row>
    <row r="224" ht="15.75" customHeight="1">
      <c r="A224" s="2"/>
      <c r="B224" s="4"/>
      <c r="C224" s="2"/>
      <c r="D224" s="2"/>
      <c r="E224" s="2"/>
      <c r="F224" s="3"/>
      <c r="G224" s="2"/>
      <c r="H224" s="2"/>
      <c r="I224" s="2"/>
      <c r="J224" s="5"/>
      <c r="K224" s="5"/>
      <c r="L224" s="5"/>
      <c r="M224" s="6"/>
      <c r="N224" s="7"/>
      <c r="O224" s="2"/>
      <c r="P224" s="2"/>
      <c r="Q224" s="2"/>
      <c r="R224" s="15"/>
      <c r="S224" s="16"/>
      <c r="T224" s="16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7"/>
      <c r="AJ224" s="12"/>
      <c r="AK224" s="12"/>
      <c r="AL224" s="13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4"/>
      <c r="BK224" s="14"/>
      <c r="BL224" s="14"/>
    </row>
    <row r="225" ht="15.75" customHeight="1">
      <c r="A225" s="2"/>
      <c r="B225" s="4"/>
      <c r="C225" s="2"/>
      <c r="D225" s="2"/>
      <c r="E225" s="2"/>
      <c r="F225" s="3"/>
      <c r="G225" s="2"/>
      <c r="H225" s="2"/>
      <c r="I225" s="2"/>
      <c r="J225" s="5"/>
      <c r="K225" s="5"/>
      <c r="L225" s="5"/>
      <c r="M225" s="6"/>
      <c r="N225" s="7"/>
      <c r="O225" s="2"/>
      <c r="P225" s="2"/>
      <c r="Q225" s="2"/>
      <c r="R225" s="15"/>
      <c r="S225" s="16"/>
      <c r="T225" s="16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7"/>
      <c r="AJ225" s="12"/>
      <c r="AK225" s="12"/>
      <c r="AL225" s="13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4"/>
      <c r="BK225" s="14"/>
      <c r="BL225" s="14"/>
    </row>
    <row r="226" ht="15.75" customHeight="1">
      <c r="A226" s="2"/>
      <c r="B226" s="4"/>
      <c r="C226" s="2"/>
      <c r="D226" s="2"/>
      <c r="E226" s="2"/>
      <c r="F226" s="3"/>
      <c r="G226" s="2"/>
      <c r="H226" s="2"/>
      <c r="I226" s="2"/>
      <c r="J226" s="5"/>
      <c r="K226" s="5"/>
      <c r="L226" s="5"/>
      <c r="M226" s="6"/>
      <c r="N226" s="7"/>
      <c r="O226" s="2"/>
      <c r="P226" s="2"/>
      <c r="Q226" s="2"/>
      <c r="R226" s="15"/>
      <c r="S226" s="16"/>
      <c r="T226" s="16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7"/>
      <c r="AJ226" s="12"/>
      <c r="AK226" s="12"/>
      <c r="AL226" s="13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4"/>
      <c r="BK226" s="14"/>
      <c r="BL226" s="14"/>
    </row>
    <row r="227" ht="15.75" customHeight="1">
      <c r="A227" s="2"/>
      <c r="B227" s="4"/>
      <c r="C227" s="2"/>
      <c r="D227" s="2"/>
      <c r="E227" s="2"/>
      <c r="F227" s="3"/>
      <c r="G227" s="2"/>
      <c r="H227" s="2"/>
      <c r="I227" s="2"/>
      <c r="J227" s="5"/>
      <c r="K227" s="5"/>
      <c r="L227" s="5"/>
      <c r="M227" s="6"/>
      <c r="N227" s="7"/>
      <c r="O227" s="2"/>
      <c r="P227" s="2"/>
      <c r="Q227" s="2"/>
      <c r="R227" s="15"/>
      <c r="S227" s="16"/>
      <c r="T227" s="16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7"/>
      <c r="AJ227" s="12"/>
      <c r="AK227" s="12"/>
      <c r="AL227" s="13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4"/>
      <c r="BK227" s="14"/>
      <c r="BL227" s="14"/>
    </row>
    <row r="228" ht="15.75" customHeight="1">
      <c r="A228" s="2"/>
      <c r="B228" s="4"/>
      <c r="C228" s="2"/>
      <c r="D228" s="2"/>
      <c r="E228" s="2"/>
      <c r="F228" s="3"/>
      <c r="G228" s="2"/>
      <c r="H228" s="2"/>
      <c r="I228" s="2"/>
      <c r="J228" s="5"/>
      <c r="K228" s="5"/>
      <c r="L228" s="5"/>
      <c r="M228" s="6"/>
      <c r="N228" s="7"/>
      <c r="O228" s="2"/>
      <c r="P228" s="2"/>
      <c r="Q228" s="2"/>
      <c r="R228" s="15"/>
      <c r="S228" s="16"/>
      <c r="T228" s="16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7"/>
      <c r="AJ228" s="12"/>
      <c r="AK228" s="12"/>
      <c r="AL228" s="13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4"/>
      <c r="BK228" s="14"/>
      <c r="BL228" s="14"/>
    </row>
    <row r="229" ht="15.75" customHeight="1">
      <c r="A229" s="2"/>
      <c r="B229" s="4"/>
      <c r="C229" s="2"/>
      <c r="D229" s="2"/>
      <c r="E229" s="2"/>
      <c r="F229" s="3"/>
      <c r="G229" s="2"/>
      <c r="H229" s="2"/>
      <c r="I229" s="2"/>
      <c r="J229" s="5"/>
      <c r="K229" s="5"/>
      <c r="L229" s="5"/>
      <c r="M229" s="6"/>
      <c r="N229" s="7"/>
      <c r="O229" s="2"/>
      <c r="P229" s="2"/>
      <c r="Q229" s="2"/>
      <c r="R229" s="15"/>
      <c r="S229" s="16"/>
      <c r="T229" s="16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7"/>
      <c r="AJ229" s="12"/>
      <c r="AK229" s="12"/>
      <c r="AL229" s="13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4"/>
      <c r="BK229" s="14"/>
      <c r="BL229" s="14"/>
    </row>
    <row r="230" ht="15.75" customHeight="1">
      <c r="A230" s="2"/>
      <c r="B230" s="4"/>
      <c r="C230" s="2"/>
      <c r="D230" s="2"/>
      <c r="E230" s="2"/>
      <c r="F230" s="3"/>
      <c r="G230" s="2"/>
      <c r="H230" s="2"/>
      <c r="I230" s="2"/>
      <c r="J230" s="5"/>
      <c r="K230" s="5"/>
      <c r="L230" s="5"/>
      <c r="M230" s="6"/>
      <c r="N230" s="7"/>
      <c r="O230" s="2"/>
      <c r="P230" s="2"/>
      <c r="Q230" s="2"/>
      <c r="R230" s="15"/>
      <c r="S230" s="16"/>
      <c r="T230" s="16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7"/>
      <c r="AJ230" s="12"/>
      <c r="AK230" s="12"/>
      <c r="AL230" s="13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4"/>
      <c r="BK230" s="14"/>
      <c r="BL230" s="14"/>
    </row>
    <row r="231" ht="15.75" customHeight="1">
      <c r="A231" s="2"/>
      <c r="B231" s="4"/>
      <c r="C231" s="2"/>
      <c r="D231" s="2"/>
      <c r="E231" s="2"/>
      <c r="F231" s="3"/>
      <c r="G231" s="2"/>
      <c r="H231" s="2"/>
      <c r="I231" s="2"/>
      <c r="J231" s="5"/>
      <c r="K231" s="5"/>
      <c r="L231" s="5"/>
      <c r="M231" s="6"/>
      <c r="N231" s="7"/>
      <c r="O231" s="2"/>
      <c r="P231" s="2"/>
      <c r="Q231" s="2"/>
      <c r="R231" s="15"/>
      <c r="S231" s="16"/>
      <c r="T231" s="16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7"/>
      <c r="AJ231" s="12"/>
      <c r="AK231" s="12"/>
      <c r="AL231" s="13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4"/>
      <c r="BK231" s="14"/>
      <c r="BL231" s="14"/>
    </row>
    <row r="232" ht="15.75" customHeight="1">
      <c r="A232" s="2"/>
      <c r="B232" s="4"/>
      <c r="C232" s="2"/>
      <c r="D232" s="2"/>
      <c r="E232" s="2"/>
      <c r="F232" s="3"/>
      <c r="G232" s="2"/>
      <c r="H232" s="2"/>
      <c r="I232" s="2"/>
      <c r="J232" s="5"/>
      <c r="K232" s="5"/>
      <c r="L232" s="5"/>
      <c r="M232" s="6"/>
      <c r="N232" s="7"/>
      <c r="O232" s="2"/>
      <c r="P232" s="2"/>
      <c r="Q232" s="2"/>
      <c r="R232" s="15"/>
      <c r="S232" s="16"/>
      <c r="T232" s="16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7"/>
      <c r="AJ232" s="12"/>
      <c r="AK232" s="12"/>
      <c r="AL232" s="13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4"/>
      <c r="BK232" s="14"/>
      <c r="BL232" s="14"/>
    </row>
    <row r="233" ht="15.75" customHeight="1">
      <c r="A233" s="2"/>
      <c r="B233" s="4"/>
      <c r="C233" s="2"/>
      <c r="D233" s="2"/>
      <c r="E233" s="2"/>
      <c r="F233" s="3"/>
      <c r="G233" s="2"/>
      <c r="H233" s="2"/>
      <c r="I233" s="2"/>
      <c r="J233" s="5"/>
      <c r="K233" s="5"/>
      <c r="L233" s="5"/>
      <c r="M233" s="6"/>
      <c r="N233" s="7"/>
      <c r="O233" s="2"/>
      <c r="P233" s="2"/>
      <c r="Q233" s="2"/>
      <c r="R233" s="15"/>
      <c r="S233" s="16"/>
      <c r="T233" s="16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7"/>
      <c r="AJ233" s="12"/>
      <c r="AK233" s="12"/>
      <c r="AL233" s="13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4"/>
      <c r="BK233" s="14"/>
      <c r="BL233" s="14"/>
    </row>
    <row r="234" ht="15.75" customHeight="1">
      <c r="A234" s="2"/>
      <c r="B234" s="4"/>
      <c r="C234" s="2"/>
      <c r="D234" s="2"/>
      <c r="E234" s="2"/>
      <c r="F234" s="3"/>
      <c r="G234" s="2"/>
      <c r="H234" s="2"/>
      <c r="I234" s="2"/>
      <c r="J234" s="5"/>
      <c r="K234" s="5"/>
      <c r="L234" s="5"/>
      <c r="M234" s="6"/>
      <c r="N234" s="7"/>
      <c r="O234" s="2"/>
      <c r="P234" s="2"/>
      <c r="Q234" s="2"/>
      <c r="R234" s="15"/>
      <c r="S234" s="16"/>
      <c r="T234" s="16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7"/>
      <c r="AJ234" s="12"/>
      <c r="AK234" s="12"/>
      <c r="AL234" s="13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4"/>
      <c r="BK234" s="14"/>
      <c r="BL234" s="14"/>
    </row>
    <row r="235" ht="15.75" customHeight="1">
      <c r="A235" s="2"/>
      <c r="B235" s="4"/>
      <c r="C235" s="2"/>
      <c r="D235" s="2"/>
      <c r="E235" s="2"/>
      <c r="F235" s="3"/>
      <c r="G235" s="2"/>
      <c r="H235" s="2"/>
      <c r="I235" s="2"/>
      <c r="J235" s="5"/>
      <c r="K235" s="5"/>
      <c r="L235" s="5"/>
      <c r="M235" s="6"/>
      <c r="N235" s="7"/>
      <c r="O235" s="2"/>
      <c r="P235" s="2"/>
      <c r="Q235" s="2"/>
      <c r="R235" s="15"/>
      <c r="S235" s="16"/>
      <c r="T235" s="16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7"/>
      <c r="AJ235" s="12"/>
      <c r="AK235" s="12"/>
      <c r="AL235" s="13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4"/>
      <c r="BK235" s="14"/>
      <c r="BL235" s="14"/>
    </row>
    <row r="236" ht="15.75" customHeight="1">
      <c r="A236" s="2"/>
      <c r="B236" s="4"/>
      <c r="C236" s="2"/>
      <c r="D236" s="2"/>
      <c r="E236" s="2"/>
      <c r="F236" s="3"/>
      <c r="G236" s="2"/>
      <c r="H236" s="2"/>
      <c r="I236" s="2"/>
      <c r="J236" s="5"/>
      <c r="K236" s="5"/>
      <c r="L236" s="5"/>
      <c r="M236" s="6"/>
      <c r="N236" s="7"/>
      <c r="O236" s="2"/>
      <c r="P236" s="2"/>
      <c r="Q236" s="2"/>
      <c r="R236" s="15"/>
      <c r="S236" s="16"/>
      <c r="T236" s="16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7"/>
      <c r="AJ236" s="12"/>
      <c r="AK236" s="12"/>
      <c r="AL236" s="13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4"/>
      <c r="BK236" s="14"/>
      <c r="BL236" s="14"/>
    </row>
    <row r="237" ht="15.75" customHeight="1">
      <c r="A237" s="2"/>
      <c r="B237" s="4"/>
      <c r="C237" s="2"/>
      <c r="D237" s="2"/>
      <c r="E237" s="2"/>
      <c r="F237" s="3"/>
      <c r="G237" s="2"/>
      <c r="H237" s="2"/>
      <c r="I237" s="2"/>
      <c r="J237" s="5"/>
      <c r="K237" s="5"/>
      <c r="L237" s="5"/>
      <c r="M237" s="6"/>
      <c r="N237" s="7"/>
      <c r="O237" s="2"/>
      <c r="P237" s="2"/>
      <c r="Q237" s="2"/>
      <c r="R237" s="15"/>
      <c r="S237" s="16"/>
      <c r="T237" s="16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7"/>
      <c r="AJ237" s="12"/>
      <c r="AK237" s="12"/>
      <c r="AL237" s="13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4"/>
      <c r="BK237" s="14"/>
      <c r="BL237" s="14"/>
    </row>
    <row r="238" ht="15.75" customHeight="1">
      <c r="A238" s="2"/>
      <c r="B238" s="4"/>
      <c r="C238" s="2"/>
      <c r="D238" s="2"/>
      <c r="E238" s="2"/>
      <c r="F238" s="3"/>
      <c r="G238" s="2"/>
      <c r="H238" s="2"/>
      <c r="I238" s="2"/>
      <c r="J238" s="5"/>
      <c r="K238" s="5"/>
      <c r="L238" s="5"/>
      <c r="M238" s="6"/>
      <c r="N238" s="7"/>
      <c r="O238" s="2"/>
      <c r="P238" s="2"/>
      <c r="Q238" s="2"/>
      <c r="R238" s="15"/>
      <c r="S238" s="16"/>
      <c r="T238" s="16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7"/>
      <c r="AJ238" s="12"/>
      <c r="AK238" s="12"/>
      <c r="AL238" s="13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4"/>
      <c r="BK238" s="14"/>
      <c r="BL238" s="14"/>
    </row>
    <row r="239" ht="15.75" customHeight="1">
      <c r="A239" s="2"/>
      <c r="B239" s="4"/>
      <c r="C239" s="2"/>
      <c r="D239" s="2"/>
      <c r="E239" s="2"/>
      <c r="F239" s="3"/>
      <c r="G239" s="2"/>
      <c r="H239" s="2"/>
      <c r="I239" s="2"/>
      <c r="J239" s="5"/>
      <c r="K239" s="5"/>
      <c r="L239" s="5"/>
      <c r="M239" s="6"/>
      <c r="N239" s="7"/>
      <c r="O239" s="2"/>
      <c r="P239" s="2"/>
      <c r="Q239" s="2"/>
      <c r="R239" s="15"/>
      <c r="S239" s="16"/>
      <c r="T239" s="16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7"/>
      <c r="AJ239" s="12"/>
      <c r="AK239" s="12"/>
      <c r="AL239" s="13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4"/>
      <c r="BK239" s="14"/>
      <c r="BL239" s="14"/>
    </row>
    <row r="240" ht="15.75" customHeight="1">
      <c r="A240" s="2"/>
      <c r="B240" s="4"/>
      <c r="C240" s="2"/>
      <c r="D240" s="2"/>
      <c r="E240" s="2"/>
      <c r="F240" s="3"/>
      <c r="G240" s="2"/>
      <c r="H240" s="2"/>
      <c r="I240" s="2"/>
      <c r="J240" s="5"/>
      <c r="K240" s="5"/>
      <c r="L240" s="5"/>
      <c r="M240" s="6"/>
      <c r="N240" s="7"/>
      <c r="O240" s="2"/>
      <c r="P240" s="2"/>
      <c r="Q240" s="2"/>
      <c r="R240" s="15"/>
      <c r="S240" s="16"/>
      <c r="T240" s="16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7"/>
      <c r="AJ240" s="12"/>
      <c r="AK240" s="12"/>
      <c r="AL240" s="13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4"/>
      <c r="BK240" s="14"/>
      <c r="BL240" s="14"/>
    </row>
    <row r="241" ht="15.75" customHeight="1">
      <c r="A241" s="2"/>
      <c r="B241" s="4"/>
      <c r="C241" s="2"/>
      <c r="D241" s="2"/>
      <c r="E241" s="2"/>
      <c r="F241" s="3"/>
      <c r="G241" s="2"/>
      <c r="H241" s="2"/>
      <c r="I241" s="2"/>
      <c r="J241" s="5"/>
      <c r="K241" s="5"/>
      <c r="L241" s="5"/>
      <c r="M241" s="6"/>
      <c r="N241" s="7"/>
      <c r="O241" s="2"/>
      <c r="P241" s="2"/>
      <c r="Q241" s="2"/>
      <c r="R241" s="15"/>
      <c r="S241" s="16"/>
      <c r="T241" s="16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7"/>
      <c r="AJ241" s="12"/>
      <c r="AK241" s="12"/>
      <c r="AL241" s="13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4"/>
      <c r="BK241" s="14"/>
      <c r="BL241" s="14"/>
    </row>
    <row r="242" ht="15.75" customHeight="1">
      <c r="A242" s="2"/>
      <c r="B242" s="4"/>
      <c r="C242" s="2"/>
      <c r="D242" s="2"/>
      <c r="E242" s="2"/>
      <c r="F242" s="3"/>
      <c r="G242" s="2"/>
      <c r="H242" s="2"/>
      <c r="I242" s="2"/>
      <c r="J242" s="5"/>
      <c r="K242" s="5"/>
      <c r="L242" s="5"/>
      <c r="M242" s="6"/>
      <c r="N242" s="7"/>
      <c r="O242" s="2"/>
      <c r="P242" s="2"/>
      <c r="Q242" s="2"/>
      <c r="R242" s="15"/>
      <c r="S242" s="16"/>
      <c r="T242" s="16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7"/>
      <c r="AJ242" s="12"/>
      <c r="AK242" s="12"/>
      <c r="AL242" s="13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4"/>
      <c r="BK242" s="14"/>
      <c r="BL242" s="14"/>
    </row>
    <row r="243" ht="15.75" customHeight="1">
      <c r="A243" s="2"/>
      <c r="B243" s="4"/>
      <c r="C243" s="2"/>
      <c r="D243" s="2"/>
      <c r="E243" s="2"/>
      <c r="F243" s="3"/>
      <c r="G243" s="2"/>
      <c r="H243" s="2"/>
      <c r="I243" s="2"/>
      <c r="J243" s="5"/>
      <c r="K243" s="5"/>
      <c r="L243" s="5"/>
      <c r="M243" s="6"/>
      <c r="N243" s="7"/>
      <c r="O243" s="2"/>
      <c r="P243" s="2"/>
      <c r="Q243" s="2"/>
      <c r="R243" s="15"/>
      <c r="S243" s="16"/>
      <c r="T243" s="16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7"/>
      <c r="AJ243" s="12"/>
      <c r="AK243" s="12"/>
      <c r="AL243" s="13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4"/>
      <c r="BK243" s="14"/>
      <c r="BL243" s="14"/>
    </row>
    <row r="244" ht="15.75" customHeight="1">
      <c r="A244" s="2"/>
      <c r="B244" s="4"/>
      <c r="C244" s="2"/>
      <c r="D244" s="2"/>
      <c r="E244" s="2"/>
      <c r="F244" s="3"/>
      <c r="G244" s="2"/>
      <c r="H244" s="2"/>
      <c r="I244" s="2"/>
      <c r="J244" s="5"/>
      <c r="K244" s="5"/>
      <c r="L244" s="5"/>
      <c r="M244" s="6"/>
      <c r="N244" s="7"/>
      <c r="O244" s="2"/>
      <c r="P244" s="2"/>
      <c r="Q244" s="2"/>
      <c r="R244" s="15"/>
      <c r="S244" s="16"/>
      <c r="T244" s="16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7"/>
      <c r="AJ244" s="12"/>
      <c r="AK244" s="12"/>
      <c r="AL244" s="13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4"/>
      <c r="BK244" s="14"/>
      <c r="BL244" s="14"/>
    </row>
    <row r="245" ht="15.75" customHeight="1">
      <c r="A245" s="2"/>
      <c r="B245" s="4"/>
      <c r="C245" s="2"/>
      <c r="D245" s="2"/>
      <c r="E245" s="2"/>
      <c r="F245" s="3"/>
      <c r="G245" s="2"/>
      <c r="H245" s="2"/>
      <c r="I245" s="2"/>
      <c r="J245" s="5"/>
      <c r="K245" s="5"/>
      <c r="L245" s="5"/>
      <c r="M245" s="6"/>
      <c r="N245" s="7"/>
      <c r="O245" s="2"/>
      <c r="P245" s="2"/>
      <c r="Q245" s="2"/>
      <c r="R245" s="15"/>
      <c r="S245" s="16"/>
      <c r="T245" s="16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7"/>
      <c r="AJ245" s="12"/>
      <c r="AK245" s="12"/>
      <c r="AL245" s="13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4"/>
      <c r="BK245" s="14"/>
      <c r="BL245" s="14"/>
    </row>
    <row r="246" ht="15.75" customHeight="1">
      <c r="A246" s="2"/>
      <c r="B246" s="4"/>
      <c r="C246" s="2"/>
      <c r="D246" s="2"/>
      <c r="E246" s="2"/>
      <c r="F246" s="3"/>
      <c r="G246" s="2"/>
      <c r="H246" s="2"/>
      <c r="I246" s="2"/>
      <c r="J246" s="5"/>
      <c r="K246" s="5"/>
      <c r="L246" s="5"/>
      <c r="M246" s="6"/>
      <c r="N246" s="7"/>
      <c r="O246" s="2"/>
      <c r="P246" s="2"/>
      <c r="Q246" s="2"/>
      <c r="R246" s="15"/>
      <c r="S246" s="16"/>
      <c r="T246" s="16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7"/>
      <c r="AJ246" s="12"/>
      <c r="AK246" s="12"/>
      <c r="AL246" s="13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4"/>
      <c r="BK246" s="14"/>
      <c r="BL246" s="14"/>
    </row>
    <row r="247" ht="15.75" customHeight="1">
      <c r="A247" s="2"/>
      <c r="B247" s="4"/>
      <c r="C247" s="2"/>
      <c r="D247" s="2"/>
      <c r="E247" s="2"/>
      <c r="F247" s="3"/>
      <c r="G247" s="2"/>
      <c r="H247" s="2"/>
      <c r="I247" s="2"/>
      <c r="J247" s="5"/>
      <c r="K247" s="5"/>
      <c r="L247" s="5"/>
      <c r="M247" s="6"/>
      <c r="N247" s="7"/>
      <c r="O247" s="2"/>
      <c r="P247" s="2"/>
      <c r="Q247" s="2"/>
      <c r="R247" s="15"/>
      <c r="S247" s="16"/>
      <c r="T247" s="16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7"/>
      <c r="AJ247" s="12"/>
      <c r="AK247" s="12"/>
      <c r="AL247" s="13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4"/>
      <c r="BK247" s="14"/>
      <c r="BL247" s="14"/>
    </row>
    <row r="248" ht="15.75" customHeight="1">
      <c r="A248" s="2"/>
      <c r="B248" s="4"/>
      <c r="C248" s="2"/>
      <c r="D248" s="2"/>
      <c r="E248" s="2"/>
      <c r="F248" s="3"/>
      <c r="G248" s="2"/>
      <c r="H248" s="2"/>
      <c r="I248" s="2"/>
      <c r="J248" s="5"/>
      <c r="K248" s="5"/>
      <c r="L248" s="5"/>
      <c r="M248" s="6"/>
      <c r="N248" s="7"/>
      <c r="O248" s="2"/>
      <c r="P248" s="2"/>
      <c r="Q248" s="2"/>
      <c r="R248" s="15"/>
      <c r="S248" s="16"/>
      <c r="T248" s="16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7"/>
      <c r="AJ248" s="12"/>
      <c r="AK248" s="12"/>
      <c r="AL248" s="13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4"/>
      <c r="BK248" s="14"/>
      <c r="BL248" s="14"/>
    </row>
    <row r="249" ht="15.75" customHeight="1">
      <c r="A249" s="2"/>
      <c r="B249" s="4"/>
      <c r="C249" s="2"/>
      <c r="D249" s="2"/>
      <c r="E249" s="2"/>
      <c r="F249" s="3"/>
      <c r="G249" s="2"/>
      <c r="H249" s="2"/>
      <c r="I249" s="2"/>
      <c r="J249" s="5"/>
      <c r="K249" s="5"/>
      <c r="L249" s="5"/>
      <c r="M249" s="6"/>
      <c r="N249" s="7"/>
      <c r="O249" s="2"/>
      <c r="P249" s="2"/>
      <c r="Q249" s="2"/>
      <c r="R249" s="15"/>
      <c r="S249" s="16"/>
      <c r="T249" s="16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7"/>
      <c r="AJ249" s="12"/>
      <c r="AK249" s="12"/>
      <c r="AL249" s="13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4"/>
      <c r="BK249" s="14"/>
      <c r="BL249" s="14"/>
    </row>
    <row r="250" ht="15.75" customHeight="1">
      <c r="A250" s="2"/>
      <c r="B250" s="4"/>
      <c r="C250" s="2"/>
      <c r="D250" s="2"/>
      <c r="E250" s="2"/>
      <c r="F250" s="3"/>
      <c r="G250" s="2"/>
      <c r="H250" s="2"/>
      <c r="I250" s="2"/>
      <c r="J250" s="5"/>
      <c r="K250" s="5"/>
      <c r="L250" s="5"/>
      <c r="M250" s="6"/>
      <c r="N250" s="7"/>
      <c r="O250" s="2"/>
      <c r="P250" s="2"/>
      <c r="Q250" s="2"/>
      <c r="R250" s="15"/>
      <c r="S250" s="16"/>
      <c r="T250" s="16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7"/>
      <c r="AJ250" s="12"/>
      <c r="AK250" s="12"/>
      <c r="AL250" s="13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4"/>
      <c r="BK250" s="14"/>
      <c r="BL250" s="14"/>
    </row>
    <row r="251" ht="15.75" customHeight="1">
      <c r="A251" s="2"/>
      <c r="B251" s="4"/>
      <c r="C251" s="2"/>
      <c r="D251" s="2"/>
      <c r="E251" s="2"/>
      <c r="F251" s="3"/>
      <c r="G251" s="2"/>
      <c r="H251" s="2"/>
      <c r="I251" s="2"/>
      <c r="J251" s="5"/>
      <c r="K251" s="5"/>
      <c r="L251" s="5"/>
      <c r="M251" s="6"/>
      <c r="N251" s="7"/>
      <c r="O251" s="2"/>
      <c r="P251" s="2"/>
      <c r="Q251" s="2"/>
      <c r="R251" s="15"/>
      <c r="S251" s="16"/>
      <c r="T251" s="16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7"/>
      <c r="AJ251" s="12"/>
      <c r="AK251" s="12"/>
      <c r="AL251" s="13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4"/>
      <c r="BK251" s="14"/>
      <c r="BL251" s="14"/>
    </row>
    <row r="252" ht="15.75" customHeight="1">
      <c r="A252" s="2"/>
      <c r="B252" s="4"/>
      <c r="C252" s="2"/>
      <c r="D252" s="2"/>
      <c r="E252" s="2"/>
      <c r="F252" s="3"/>
      <c r="G252" s="2"/>
      <c r="H252" s="2"/>
      <c r="I252" s="2"/>
      <c r="J252" s="5"/>
      <c r="K252" s="5"/>
      <c r="L252" s="5"/>
      <c r="M252" s="6"/>
      <c r="N252" s="7"/>
      <c r="O252" s="2"/>
      <c r="P252" s="2"/>
      <c r="Q252" s="2"/>
      <c r="R252" s="15"/>
      <c r="S252" s="16"/>
      <c r="T252" s="16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7"/>
      <c r="AJ252" s="12"/>
      <c r="AK252" s="12"/>
      <c r="AL252" s="13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4"/>
      <c r="BK252" s="14"/>
      <c r="BL252" s="14"/>
    </row>
    <row r="253" ht="15.75" customHeight="1">
      <c r="A253" s="2"/>
      <c r="B253" s="4"/>
      <c r="C253" s="2"/>
      <c r="D253" s="2"/>
      <c r="E253" s="2"/>
      <c r="F253" s="3"/>
      <c r="G253" s="2"/>
      <c r="H253" s="2"/>
      <c r="I253" s="2"/>
      <c r="J253" s="5"/>
      <c r="K253" s="5"/>
      <c r="L253" s="5"/>
      <c r="M253" s="6"/>
      <c r="N253" s="7"/>
      <c r="O253" s="2"/>
      <c r="P253" s="2"/>
      <c r="Q253" s="2"/>
      <c r="R253" s="15"/>
      <c r="S253" s="16"/>
      <c r="T253" s="16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7"/>
      <c r="AJ253" s="12"/>
      <c r="AK253" s="12"/>
      <c r="AL253" s="13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4"/>
      <c r="BK253" s="14"/>
      <c r="BL253" s="14"/>
    </row>
    <row r="254" ht="15.75" customHeight="1">
      <c r="A254" s="2"/>
      <c r="B254" s="4"/>
      <c r="C254" s="2"/>
      <c r="D254" s="2"/>
      <c r="E254" s="2"/>
      <c r="F254" s="3"/>
      <c r="G254" s="2"/>
      <c r="H254" s="2"/>
      <c r="I254" s="2"/>
      <c r="J254" s="5"/>
      <c r="K254" s="5"/>
      <c r="L254" s="5"/>
      <c r="M254" s="6"/>
      <c r="N254" s="7"/>
      <c r="O254" s="2"/>
      <c r="P254" s="2"/>
      <c r="Q254" s="2"/>
      <c r="R254" s="15"/>
      <c r="S254" s="16"/>
      <c r="T254" s="16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7"/>
      <c r="AJ254" s="12"/>
      <c r="AK254" s="12"/>
      <c r="AL254" s="13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4"/>
      <c r="BK254" s="14"/>
      <c r="BL254" s="14"/>
    </row>
    <row r="255" ht="15.75" customHeight="1">
      <c r="A255" s="2"/>
      <c r="B255" s="4"/>
      <c r="C255" s="2"/>
      <c r="D255" s="2"/>
      <c r="E255" s="2"/>
      <c r="F255" s="3"/>
      <c r="G255" s="2"/>
      <c r="H255" s="2"/>
      <c r="I255" s="2"/>
      <c r="J255" s="5"/>
      <c r="K255" s="5"/>
      <c r="L255" s="5"/>
      <c r="M255" s="6"/>
      <c r="N255" s="7"/>
      <c r="O255" s="2"/>
      <c r="P255" s="2"/>
      <c r="Q255" s="2"/>
      <c r="R255" s="15"/>
      <c r="S255" s="16"/>
      <c r="T255" s="16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7"/>
      <c r="AJ255" s="12"/>
      <c r="AK255" s="12"/>
      <c r="AL255" s="13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4"/>
      <c r="BK255" s="14"/>
      <c r="BL255" s="14"/>
    </row>
    <row r="256" ht="15.75" customHeight="1">
      <c r="A256" s="2"/>
      <c r="B256" s="4"/>
      <c r="C256" s="2"/>
      <c r="D256" s="2"/>
      <c r="E256" s="2"/>
      <c r="F256" s="3"/>
      <c r="G256" s="2"/>
      <c r="H256" s="2"/>
      <c r="I256" s="2"/>
      <c r="J256" s="5"/>
      <c r="K256" s="5"/>
      <c r="L256" s="5"/>
      <c r="M256" s="6"/>
      <c r="N256" s="7"/>
      <c r="O256" s="2"/>
      <c r="P256" s="2"/>
      <c r="Q256" s="2"/>
      <c r="R256" s="15"/>
      <c r="S256" s="16"/>
      <c r="T256" s="16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7"/>
      <c r="AJ256" s="12"/>
      <c r="AK256" s="12"/>
      <c r="AL256" s="13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4"/>
      <c r="BK256" s="14"/>
      <c r="BL256" s="14"/>
    </row>
    <row r="257" ht="15.75" customHeight="1">
      <c r="A257" s="2"/>
      <c r="B257" s="4"/>
      <c r="C257" s="2"/>
      <c r="D257" s="2"/>
      <c r="E257" s="2"/>
      <c r="F257" s="3"/>
      <c r="G257" s="2"/>
      <c r="H257" s="2"/>
      <c r="I257" s="2"/>
      <c r="J257" s="5"/>
      <c r="K257" s="5"/>
      <c r="L257" s="5"/>
      <c r="M257" s="6"/>
      <c r="N257" s="7"/>
      <c r="O257" s="2"/>
      <c r="P257" s="2"/>
      <c r="Q257" s="2"/>
      <c r="R257" s="15"/>
      <c r="S257" s="16"/>
      <c r="T257" s="16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7"/>
      <c r="AJ257" s="12"/>
      <c r="AK257" s="12"/>
      <c r="AL257" s="13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4"/>
      <c r="BK257" s="14"/>
      <c r="BL257" s="14"/>
    </row>
    <row r="258" ht="15.75" customHeight="1">
      <c r="A258" s="2"/>
      <c r="B258" s="4"/>
      <c r="C258" s="2"/>
      <c r="D258" s="2"/>
      <c r="E258" s="2"/>
      <c r="F258" s="3"/>
      <c r="G258" s="2"/>
      <c r="H258" s="2"/>
      <c r="I258" s="2"/>
      <c r="J258" s="5"/>
      <c r="K258" s="5"/>
      <c r="L258" s="5"/>
      <c r="M258" s="6"/>
      <c r="N258" s="7"/>
      <c r="O258" s="2"/>
      <c r="P258" s="2"/>
      <c r="Q258" s="2"/>
      <c r="R258" s="15"/>
      <c r="S258" s="16"/>
      <c r="T258" s="16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7"/>
      <c r="AJ258" s="12"/>
      <c r="AK258" s="12"/>
      <c r="AL258" s="13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4"/>
      <c r="BK258" s="14"/>
      <c r="BL258" s="14"/>
    </row>
    <row r="259" ht="15.75" customHeight="1">
      <c r="A259" s="2"/>
      <c r="B259" s="4"/>
      <c r="C259" s="2"/>
      <c r="D259" s="2"/>
      <c r="E259" s="2"/>
      <c r="F259" s="3"/>
      <c r="G259" s="2"/>
      <c r="H259" s="2"/>
      <c r="I259" s="2"/>
      <c r="J259" s="5"/>
      <c r="K259" s="5"/>
      <c r="L259" s="5"/>
      <c r="M259" s="6"/>
      <c r="N259" s="7"/>
      <c r="O259" s="2"/>
      <c r="P259" s="2"/>
      <c r="Q259" s="2"/>
      <c r="R259" s="15"/>
      <c r="S259" s="16"/>
      <c r="T259" s="16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7"/>
      <c r="AJ259" s="12"/>
      <c r="AK259" s="12"/>
      <c r="AL259" s="13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4"/>
      <c r="BK259" s="14"/>
      <c r="BL259" s="14"/>
    </row>
    <row r="260" ht="15.75" customHeight="1">
      <c r="A260" s="2"/>
      <c r="B260" s="4"/>
      <c r="C260" s="2"/>
      <c r="D260" s="2"/>
      <c r="E260" s="2"/>
      <c r="F260" s="3"/>
      <c r="G260" s="2"/>
      <c r="H260" s="2"/>
      <c r="I260" s="2"/>
      <c r="J260" s="5"/>
      <c r="K260" s="5"/>
      <c r="L260" s="5"/>
      <c r="M260" s="6"/>
      <c r="N260" s="7"/>
      <c r="O260" s="2"/>
      <c r="P260" s="2"/>
      <c r="Q260" s="2"/>
      <c r="R260" s="15"/>
      <c r="S260" s="16"/>
      <c r="T260" s="16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7"/>
      <c r="AJ260" s="12"/>
      <c r="AK260" s="12"/>
      <c r="AL260" s="13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4"/>
      <c r="BK260" s="14"/>
      <c r="BL260" s="14"/>
    </row>
    <row r="261" ht="15.75" customHeight="1">
      <c r="A261" s="2"/>
      <c r="B261" s="4"/>
      <c r="C261" s="2"/>
      <c r="D261" s="2"/>
      <c r="E261" s="2"/>
      <c r="F261" s="3"/>
      <c r="G261" s="2"/>
      <c r="H261" s="2"/>
      <c r="I261" s="2"/>
      <c r="J261" s="5"/>
      <c r="K261" s="5"/>
      <c r="L261" s="5"/>
      <c r="M261" s="6"/>
      <c r="N261" s="7"/>
      <c r="O261" s="2"/>
      <c r="P261" s="2"/>
      <c r="Q261" s="2"/>
      <c r="R261" s="15"/>
      <c r="S261" s="16"/>
      <c r="T261" s="16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7"/>
      <c r="AJ261" s="12"/>
      <c r="AK261" s="12"/>
      <c r="AL261" s="13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4"/>
      <c r="BK261" s="14"/>
      <c r="BL261" s="14"/>
    </row>
    <row r="262" ht="15.75" customHeight="1">
      <c r="A262" s="2"/>
      <c r="B262" s="4"/>
      <c r="C262" s="2"/>
      <c r="D262" s="2"/>
      <c r="E262" s="2"/>
      <c r="F262" s="3"/>
      <c r="G262" s="2"/>
      <c r="H262" s="2"/>
      <c r="I262" s="2"/>
      <c r="J262" s="5"/>
      <c r="K262" s="5"/>
      <c r="L262" s="5"/>
      <c r="M262" s="6"/>
      <c r="N262" s="7"/>
      <c r="O262" s="2"/>
      <c r="P262" s="2"/>
      <c r="Q262" s="2"/>
      <c r="R262" s="15"/>
      <c r="S262" s="16"/>
      <c r="T262" s="16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7"/>
      <c r="AJ262" s="12"/>
      <c r="AK262" s="12"/>
      <c r="AL262" s="13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4"/>
      <c r="BK262" s="14"/>
      <c r="BL262" s="14"/>
    </row>
    <row r="263" ht="15.75" customHeight="1">
      <c r="A263" s="2"/>
      <c r="B263" s="4"/>
      <c r="C263" s="2"/>
      <c r="D263" s="2"/>
      <c r="E263" s="2"/>
      <c r="F263" s="3"/>
      <c r="G263" s="2"/>
      <c r="H263" s="2"/>
      <c r="I263" s="2"/>
      <c r="J263" s="5"/>
      <c r="K263" s="5"/>
      <c r="L263" s="5"/>
      <c r="M263" s="6"/>
      <c r="N263" s="7"/>
      <c r="O263" s="2"/>
      <c r="P263" s="2"/>
      <c r="Q263" s="2"/>
      <c r="R263" s="15"/>
      <c r="S263" s="16"/>
      <c r="T263" s="16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7"/>
      <c r="AJ263" s="12"/>
      <c r="AK263" s="12"/>
      <c r="AL263" s="13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4"/>
      <c r="BK263" s="14"/>
      <c r="BL263" s="14"/>
    </row>
    <row r="264" ht="15.75" customHeight="1">
      <c r="A264" s="2"/>
      <c r="B264" s="4"/>
      <c r="C264" s="2"/>
      <c r="D264" s="2"/>
      <c r="E264" s="2"/>
      <c r="F264" s="3"/>
      <c r="G264" s="2"/>
      <c r="H264" s="2"/>
      <c r="I264" s="2"/>
      <c r="J264" s="5"/>
      <c r="K264" s="5"/>
      <c r="L264" s="5"/>
      <c r="M264" s="6"/>
      <c r="N264" s="7"/>
      <c r="O264" s="2"/>
      <c r="P264" s="2"/>
      <c r="Q264" s="2"/>
      <c r="R264" s="15"/>
      <c r="S264" s="16"/>
      <c r="T264" s="16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7"/>
      <c r="AJ264" s="12"/>
      <c r="AK264" s="12"/>
      <c r="AL264" s="13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4"/>
      <c r="BK264" s="14"/>
      <c r="BL264" s="14"/>
    </row>
    <row r="265" ht="15.75" customHeight="1">
      <c r="A265" s="2"/>
      <c r="B265" s="4"/>
      <c r="C265" s="2"/>
      <c r="D265" s="2"/>
      <c r="E265" s="2"/>
      <c r="F265" s="3"/>
      <c r="G265" s="2"/>
      <c r="H265" s="2"/>
      <c r="I265" s="2"/>
      <c r="J265" s="5"/>
      <c r="K265" s="5"/>
      <c r="L265" s="5"/>
      <c r="M265" s="6"/>
      <c r="N265" s="7"/>
      <c r="O265" s="2"/>
      <c r="P265" s="2"/>
      <c r="Q265" s="2"/>
      <c r="R265" s="15"/>
      <c r="S265" s="16"/>
      <c r="T265" s="16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7"/>
      <c r="AJ265" s="12"/>
      <c r="AK265" s="12"/>
      <c r="AL265" s="13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4"/>
      <c r="BK265" s="14"/>
      <c r="BL265" s="14"/>
    </row>
    <row r="266" ht="15.75" customHeight="1">
      <c r="A266" s="2"/>
      <c r="B266" s="4"/>
      <c r="C266" s="2"/>
      <c r="D266" s="2"/>
      <c r="E266" s="2"/>
      <c r="F266" s="3"/>
      <c r="G266" s="2"/>
      <c r="H266" s="2"/>
      <c r="I266" s="2"/>
      <c r="J266" s="5"/>
      <c r="K266" s="5"/>
      <c r="L266" s="5"/>
      <c r="M266" s="6"/>
      <c r="N266" s="7"/>
      <c r="O266" s="2"/>
      <c r="P266" s="2"/>
      <c r="Q266" s="2"/>
      <c r="R266" s="15"/>
      <c r="S266" s="16"/>
      <c r="T266" s="16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7"/>
      <c r="AJ266" s="12"/>
      <c r="AK266" s="12"/>
      <c r="AL266" s="13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4"/>
      <c r="BK266" s="14"/>
      <c r="BL266" s="14"/>
    </row>
    <row r="267" ht="15.75" customHeight="1">
      <c r="A267" s="2"/>
      <c r="B267" s="4"/>
      <c r="C267" s="2"/>
      <c r="D267" s="2"/>
      <c r="E267" s="2"/>
      <c r="F267" s="3"/>
      <c r="G267" s="2"/>
      <c r="H267" s="2"/>
      <c r="I267" s="2"/>
      <c r="J267" s="5"/>
      <c r="K267" s="5"/>
      <c r="L267" s="5"/>
      <c r="M267" s="6"/>
      <c r="N267" s="7"/>
      <c r="O267" s="2"/>
      <c r="P267" s="2"/>
      <c r="Q267" s="2"/>
      <c r="R267" s="15"/>
      <c r="S267" s="16"/>
      <c r="T267" s="16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7"/>
      <c r="AJ267" s="12"/>
      <c r="AK267" s="12"/>
      <c r="AL267" s="13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4"/>
      <c r="BK267" s="14"/>
      <c r="BL267" s="14"/>
    </row>
    <row r="268" ht="15.75" customHeight="1">
      <c r="A268" s="2"/>
      <c r="B268" s="4"/>
      <c r="C268" s="2"/>
      <c r="D268" s="2"/>
      <c r="E268" s="2"/>
      <c r="F268" s="3"/>
      <c r="G268" s="2"/>
      <c r="H268" s="2"/>
      <c r="I268" s="2"/>
      <c r="J268" s="5"/>
      <c r="K268" s="5"/>
      <c r="L268" s="5"/>
      <c r="M268" s="6"/>
      <c r="N268" s="7"/>
      <c r="O268" s="2"/>
      <c r="P268" s="2"/>
      <c r="Q268" s="2"/>
      <c r="R268" s="15"/>
      <c r="S268" s="16"/>
      <c r="T268" s="16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7"/>
      <c r="AJ268" s="12"/>
      <c r="AK268" s="12"/>
      <c r="AL268" s="13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4"/>
      <c r="BK268" s="14"/>
      <c r="BL268" s="14"/>
    </row>
    <row r="269" ht="15.75" customHeight="1">
      <c r="A269" s="2"/>
      <c r="B269" s="4"/>
      <c r="C269" s="2"/>
      <c r="D269" s="2"/>
      <c r="E269" s="2"/>
      <c r="F269" s="3"/>
      <c r="G269" s="2"/>
      <c r="H269" s="2"/>
      <c r="I269" s="2"/>
      <c r="J269" s="5"/>
      <c r="K269" s="5"/>
      <c r="L269" s="5"/>
      <c r="M269" s="6"/>
      <c r="N269" s="7"/>
      <c r="O269" s="2"/>
      <c r="P269" s="2"/>
      <c r="Q269" s="2"/>
      <c r="R269" s="15"/>
      <c r="S269" s="16"/>
      <c r="T269" s="16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7"/>
      <c r="AJ269" s="12"/>
      <c r="AK269" s="12"/>
      <c r="AL269" s="13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4"/>
      <c r="BK269" s="14"/>
      <c r="BL269" s="14"/>
    </row>
    <row r="270" ht="15.75" customHeight="1">
      <c r="A270" s="2"/>
      <c r="B270" s="4"/>
      <c r="C270" s="2"/>
      <c r="D270" s="2"/>
      <c r="E270" s="2"/>
      <c r="F270" s="3"/>
      <c r="G270" s="2"/>
      <c r="H270" s="2"/>
      <c r="I270" s="2"/>
      <c r="J270" s="5"/>
      <c r="K270" s="5"/>
      <c r="L270" s="5"/>
      <c r="M270" s="6"/>
      <c r="N270" s="7"/>
      <c r="O270" s="2"/>
      <c r="P270" s="2"/>
      <c r="Q270" s="2"/>
      <c r="R270" s="15"/>
      <c r="S270" s="16"/>
      <c r="T270" s="16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7"/>
      <c r="AJ270" s="12"/>
      <c r="AK270" s="12"/>
      <c r="AL270" s="13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4"/>
      <c r="BK270" s="14"/>
      <c r="BL270" s="14"/>
    </row>
    <row r="271" ht="15.75" customHeight="1">
      <c r="A271" s="2"/>
      <c r="B271" s="4"/>
      <c r="C271" s="2"/>
      <c r="D271" s="2"/>
      <c r="E271" s="2"/>
      <c r="F271" s="3"/>
      <c r="G271" s="2"/>
      <c r="H271" s="2"/>
      <c r="I271" s="2"/>
      <c r="J271" s="5"/>
      <c r="K271" s="5"/>
      <c r="L271" s="5"/>
      <c r="M271" s="6"/>
      <c r="N271" s="7"/>
      <c r="O271" s="2"/>
      <c r="P271" s="2"/>
      <c r="Q271" s="2"/>
      <c r="R271" s="15"/>
      <c r="S271" s="16"/>
      <c r="T271" s="16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7"/>
      <c r="AJ271" s="12"/>
      <c r="AK271" s="12"/>
      <c r="AL271" s="13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4"/>
      <c r="BK271" s="14"/>
      <c r="BL271" s="14"/>
    </row>
    <row r="272" ht="15.75" customHeight="1">
      <c r="A272" s="2"/>
      <c r="B272" s="4"/>
      <c r="C272" s="2"/>
      <c r="D272" s="2"/>
      <c r="E272" s="2"/>
      <c r="F272" s="3"/>
      <c r="G272" s="2"/>
      <c r="H272" s="2"/>
      <c r="I272" s="2"/>
      <c r="J272" s="5"/>
      <c r="K272" s="5"/>
      <c r="L272" s="5"/>
      <c r="M272" s="6"/>
      <c r="N272" s="7"/>
      <c r="O272" s="2"/>
      <c r="P272" s="2"/>
      <c r="Q272" s="2"/>
      <c r="R272" s="15"/>
      <c r="S272" s="16"/>
      <c r="T272" s="16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7"/>
      <c r="AJ272" s="12"/>
      <c r="AK272" s="12"/>
      <c r="AL272" s="13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4"/>
      <c r="BK272" s="14"/>
      <c r="BL272" s="14"/>
    </row>
    <row r="273" ht="15.75" customHeight="1">
      <c r="A273" s="2"/>
      <c r="B273" s="4"/>
      <c r="C273" s="2"/>
      <c r="D273" s="2"/>
      <c r="E273" s="2"/>
      <c r="F273" s="3"/>
      <c r="G273" s="2"/>
      <c r="H273" s="2"/>
      <c r="I273" s="2"/>
      <c r="J273" s="5"/>
      <c r="K273" s="5"/>
      <c r="L273" s="5"/>
      <c r="M273" s="6"/>
      <c r="N273" s="7"/>
      <c r="O273" s="2"/>
      <c r="P273" s="2"/>
      <c r="Q273" s="2"/>
      <c r="R273" s="15"/>
      <c r="S273" s="16"/>
      <c r="T273" s="16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7"/>
      <c r="AJ273" s="12"/>
      <c r="AK273" s="12"/>
      <c r="AL273" s="13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4"/>
      <c r="BK273" s="14"/>
      <c r="BL273" s="14"/>
    </row>
    <row r="274" ht="15.75" customHeight="1">
      <c r="A274" s="2"/>
      <c r="B274" s="4"/>
      <c r="C274" s="2"/>
      <c r="D274" s="2"/>
      <c r="E274" s="2"/>
      <c r="F274" s="3"/>
      <c r="G274" s="2"/>
      <c r="H274" s="2"/>
      <c r="I274" s="2"/>
      <c r="J274" s="5"/>
      <c r="K274" s="5"/>
      <c r="L274" s="5"/>
      <c r="M274" s="6"/>
      <c r="N274" s="7"/>
      <c r="O274" s="2"/>
      <c r="P274" s="2"/>
      <c r="Q274" s="2"/>
      <c r="R274" s="15"/>
      <c r="S274" s="16"/>
      <c r="T274" s="16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7"/>
      <c r="AJ274" s="12"/>
      <c r="AK274" s="12"/>
      <c r="AL274" s="13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4"/>
      <c r="BK274" s="14"/>
      <c r="BL274" s="14"/>
    </row>
    <row r="275" ht="15.75" customHeight="1">
      <c r="A275" s="2"/>
      <c r="B275" s="4"/>
      <c r="C275" s="2"/>
      <c r="D275" s="2"/>
      <c r="E275" s="2"/>
      <c r="F275" s="3"/>
      <c r="G275" s="2"/>
      <c r="H275" s="2"/>
      <c r="I275" s="2"/>
      <c r="J275" s="5"/>
      <c r="K275" s="5"/>
      <c r="L275" s="5"/>
      <c r="M275" s="6"/>
      <c r="N275" s="7"/>
      <c r="O275" s="2"/>
      <c r="P275" s="2"/>
      <c r="Q275" s="2"/>
      <c r="R275" s="15"/>
      <c r="S275" s="16"/>
      <c r="T275" s="16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7"/>
      <c r="AJ275" s="12"/>
      <c r="AK275" s="12"/>
      <c r="AL275" s="13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4"/>
      <c r="BK275" s="14"/>
      <c r="BL275" s="14"/>
    </row>
    <row r="276" ht="15.75" customHeight="1">
      <c r="A276" s="2"/>
      <c r="B276" s="4"/>
      <c r="C276" s="2"/>
      <c r="D276" s="2"/>
      <c r="E276" s="2"/>
      <c r="F276" s="3"/>
      <c r="G276" s="2"/>
      <c r="H276" s="2"/>
      <c r="I276" s="2"/>
      <c r="J276" s="5"/>
      <c r="K276" s="5"/>
      <c r="L276" s="5"/>
      <c r="M276" s="6"/>
      <c r="N276" s="7"/>
      <c r="O276" s="2"/>
      <c r="P276" s="2"/>
      <c r="Q276" s="2"/>
      <c r="R276" s="15"/>
      <c r="S276" s="16"/>
      <c r="T276" s="16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7"/>
      <c r="AJ276" s="12"/>
      <c r="AK276" s="12"/>
      <c r="AL276" s="13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4"/>
      <c r="BK276" s="14"/>
      <c r="BL276" s="14"/>
    </row>
    <row r="277" ht="15.75" customHeight="1">
      <c r="A277" s="2"/>
      <c r="B277" s="4"/>
      <c r="C277" s="2"/>
      <c r="D277" s="2"/>
      <c r="E277" s="2"/>
      <c r="F277" s="3"/>
      <c r="G277" s="2"/>
      <c r="H277" s="2"/>
      <c r="I277" s="2"/>
      <c r="J277" s="5"/>
      <c r="K277" s="5"/>
      <c r="L277" s="5"/>
      <c r="M277" s="6"/>
      <c r="N277" s="7"/>
      <c r="O277" s="2"/>
      <c r="P277" s="2"/>
      <c r="Q277" s="2"/>
      <c r="R277" s="15"/>
      <c r="S277" s="16"/>
      <c r="T277" s="16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7"/>
      <c r="AJ277" s="12"/>
      <c r="AK277" s="12"/>
      <c r="AL277" s="13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4"/>
      <c r="BK277" s="14"/>
      <c r="BL277" s="14"/>
    </row>
    <row r="278" ht="15.75" customHeight="1">
      <c r="A278" s="2"/>
      <c r="B278" s="4"/>
      <c r="C278" s="2"/>
      <c r="D278" s="2"/>
      <c r="E278" s="2"/>
      <c r="F278" s="3"/>
      <c r="G278" s="2"/>
      <c r="H278" s="2"/>
      <c r="I278" s="2"/>
      <c r="J278" s="5"/>
      <c r="K278" s="5"/>
      <c r="L278" s="5"/>
      <c r="M278" s="6"/>
      <c r="N278" s="7"/>
      <c r="O278" s="2"/>
      <c r="P278" s="2"/>
      <c r="Q278" s="2"/>
      <c r="R278" s="15"/>
      <c r="S278" s="16"/>
      <c r="T278" s="16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7"/>
      <c r="AJ278" s="12"/>
      <c r="AK278" s="12"/>
      <c r="AL278" s="13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4"/>
      <c r="BK278" s="14"/>
      <c r="BL278" s="14"/>
    </row>
    <row r="279" ht="15.75" customHeight="1">
      <c r="A279" s="2"/>
      <c r="B279" s="4"/>
      <c r="C279" s="2"/>
      <c r="D279" s="2"/>
      <c r="E279" s="2"/>
      <c r="F279" s="3"/>
      <c r="G279" s="2"/>
      <c r="H279" s="2"/>
      <c r="I279" s="2"/>
      <c r="J279" s="5"/>
      <c r="K279" s="5"/>
      <c r="L279" s="5"/>
      <c r="M279" s="6"/>
      <c r="N279" s="7"/>
      <c r="O279" s="2"/>
      <c r="P279" s="2"/>
      <c r="Q279" s="2"/>
      <c r="R279" s="15"/>
      <c r="S279" s="16"/>
      <c r="T279" s="16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7"/>
      <c r="AJ279" s="12"/>
      <c r="AK279" s="12"/>
      <c r="AL279" s="13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4"/>
      <c r="BK279" s="14"/>
      <c r="BL279" s="14"/>
    </row>
    <row r="280" ht="15.75" customHeight="1">
      <c r="A280" s="2"/>
      <c r="B280" s="4"/>
      <c r="C280" s="2"/>
      <c r="D280" s="2"/>
      <c r="E280" s="2"/>
      <c r="F280" s="3"/>
      <c r="G280" s="2"/>
      <c r="H280" s="2"/>
      <c r="I280" s="2"/>
      <c r="J280" s="5"/>
      <c r="K280" s="5"/>
      <c r="L280" s="5"/>
      <c r="M280" s="6"/>
      <c r="N280" s="7"/>
      <c r="O280" s="2"/>
      <c r="P280" s="2"/>
      <c r="Q280" s="2"/>
      <c r="R280" s="15"/>
      <c r="S280" s="16"/>
      <c r="T280" s="16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7"/>
      <c r="AJ280" s="12"/>
      <c r="AK280" s="12"/>
      <c r="AL280" s="13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4"/>
      <c r="BK280" s="14"/>
      <c r="BL280" s="14"/>
    </row>
    <row r="281" ht="15.75" customHeight="1">
      <c r="A281" s="2"/>
      <c r="B281" s="4"/>
      <c r="C281" s="2"/>
      <c r="D281" s="2"/>
      <c r="E281" s="2"/>
      <c r="F281" s="3"/>
      <c r="G281" s="2"/>
      <c r="H281" s="2"/>
      <c r="I281" s="2"/>
      <c r="J281" s="5"/>
      <c r="K281" s="5"/>
      <c r="L281" s="5"/>
      <c r="M281" s="6"/>
      <c r="N281" s="7"/>
      <c r="O281" s="2"/>
      <c r="P281" s="2"/>
      <c r="Q281" s="2"/>
      <c r="R281" s="15"/>
      <c r="S281" s="16"/>
      <c r="T281" s="16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7"/>
      <c r="AJ281" s="12"/>
      <c r="AK281" s="12"/>
      <c r="AL281" s="13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4"/>
      <c r="BK281" s="14"/>
      <c r="BL281" s="14"/>
    </row>
    <row r="282" ht="15.75" customHeight="1">
      <c r="A282" s="2"/>
      <c r="B282" s="4"/>
      <c r="C282" s="2"/>
      <c r="D282" s="2"/>
      <c r="E282" s="2"/>
      <c r="F282" s="3"/>
      <c r="G282" s="2"/>
      <c r="H282" s="2"/>
      <c r="I282" s="2"/>
      <c r="J282" s="5"/>
      <c r="K282" s="5"/>
      <c r="L282" s="5"/>
      <c r="M282" s="6"/>
      <c r="N282" s="7"/>
      <c r="O282" s="2"/>
      <c r="P282" s="2"/>
      <c r="Q282" s="2"/>
      <c r="R282" s="15"/>
      <c r="S282" s="16"/>
      <c r="T282" s="16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7"/>
      <c r="AJ282" s="12"/>
      <c r="AK282" s="12"/>
      <c r="AL282" s="13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4"/>
      <c r="BK282" s="14"/>
      <c r="BL282" s="14"/>
    </row>
    <row r="283" ht="15.75" customHeight="1">
      <c r="A283" s="2"/>
      <c r="B283" s="4"/>
      <c r="C283" s="2"/>
      <c r="D283" s="2"/>
      <c r="E283" s="2"/>
      <c r="F283" s="3"/>
      <c r="G283" s="2"/>
      <c r="H283" s="2"/>
      <c r="I283" s="2"/>
      <c r="J283" s="5"/>
      <c r="K283" s="5"/>
      <c r="L283" s="5"/>
      <c r="M283" s="6"/>
      <c r="N283" s="7"/>
      <c r="O283" s="2"/>
      <c r="P283" s="2"/>
      <c r="Q283" s="2"/>
      <c r="R283" s="15"/>
      <c r="S283" s="16"/>
      <c r="T283" s="16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7"/>
      <c r="AJ283" s="12"/>
      <c r="AK283" s="12"/>
      <c r="AL283" s="13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4"/>
      <c r="BK283" s="14"/>
      <c r="BL283" s="14"/>
    </row>
    <row r="284" ht="15.75" customHeight="1">
      <c r="A284" s="2"/>
      <c r="B284" s="4"/>
      <c r="C284" s="2"/>
      <c r="D284" s="2"/>
      <c r="E284" s="2"/>
      <c r="F284" s="3"/>
      <c r="G284" s="2"/>
      <c r="H284" s="2"/>
      <c r="I284" s="2"/>
      <c r="J284" s="5"/>
      <c r="K284" s="5"/>
      <c r="L284" s="5"/>
      <c r="M284" s="6"/>
      <c r="N284" s="7"/>
      <c r="O284" s="2"/>
      <c r="P284" s="2"/>
      <c r="Q284" s="2"/>
      <c r="R284" s="15"/>
      <c r="S284" s="16"/>
      <c r="T284" s="16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7"/>
      <c r="AJ284" s="12"/>
      <c r="AK284" s="12"/>
      <c r="AL284" s="13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4"/>
      <c r="BK284" s="14"/>
      <c r="BL284" s="14"/>
    </row>
    <row r="285" ht="15.75" customHeight="1">
      <c r="A285" s="2"/>
      <c r="B285" s="4"/>
      <c r="C285" s="2"/>
      <c r="D285" s="2"/>
      <c r="E285" s="2"/>
      <c r="F285" s="3"/>
      <c r="G285" s="2"/>
      <c r="H285" s="2"/>
      <c r="I285" s="2"/>
      <c r="J285" s="5"/>
      <c r="K285" s="5"/>
      <c r="L285" s="5"/>
      <c r="M285" s="6"/>
      <c r="N285" s="7"/>
      <c r="O285" s="2"/>
      <c r="P285" s="2"/>
      <c r="Q285" s="2"/>
      <c r="R285" s="15"/>
      <c r="S285" s="16"/>
      <c r="T285" s="16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7"/>
      <c r="AJ285" s="12"/>
      <c r="AK285" s="12"/>
      <c r="AL285" s="13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4"/>
      <c r="BK285" s="14"/>
      <c r="BL285" s="14"/>
    </row>
    <row r="286" ht="15.75" customHeight="1">
      <c r="A286" s="2"/>
      <c r="B286" s="4"/>
      <c r="C286" s="2"/>
      <c r="D286" s="2"/>
      <c r="E286" s="2"/>
      <c r="F286" s="3"/>
      <c r="G286" s="2"/>
      <c r="H286" s="2"/>
      <c r="I286" s="2"/>
      <c r="J286" s="5"/>
      <c r="K286" s="5"/>
      <c r="L286" s="5"/>
      <c r="M286" s="6"/>
      <c r="N286" s="7"/>
      <c r="O286" s="2"/>
      <c r="P286" s="2"/>
      <c r="Q286" s="2"/>
      <c r="R286" s="15"/>
      <c r="S286" s="16"/>
      <c r="T286" s="16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7"/>
      <c r="AJ286" s="12"/>
      <c r="AK286" s="12"/>
      <c r="AL286" s="13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4"/>
      <c r="BK286" s="14"/>
      <c r="BL286" s="14"/>
    </row>
    <row r="287" ht="15.75" customHeight="1">
      <c r="A287" s="2"/>
      <c r="B287" s="4"/>
      <c r="C287" s="2"/>
      <c r="D287" s="2"/>
      <c r="E287" s="2"/>
      <c r="F287" s="3"/>
      <c r="G287" s="2"/>
      <c r="H287" s="2"/>
      <c r="I287" s="2"/>
      <c r="J287" s="5"/>
      <c r="K287" s="5"/>
      <c r="L287" s="5"/>
      <c r="M287" s="6"/>
      <c r="N287" s="7"/>
      <c r="O287" s="2"/>
      <c r="P287" s="2"/>
      <c r="Q287" s="2"/>
      <c r="R287" s="15"/>
      <c r="S287" s="16"/>
      <c r="T287" s="16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7"/>
      <c r="AJ287" s="12"/>
      <c r="AK287" s="12"/>
      <c r="AL287" s="13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4"/>
      <c r="BK287" s="14"/>
      <c r="BL287" s="14"/>
    </row>
    <row r="288" ht="15.75" customHeight="1">
      <c r="A288" s="2"/>
      <c r="B288" s="4"/>
      <c r="C288" s="2"/>
      <c r="D288" s="2"/>
      <c r="E288" s="2"/>
      <c r="F288" s="3"/>
      <c r="G288" s="2"/>
      <c r="H288" s="2"/>
      <c r="I288" s="2"/>
      <c r="J288" s="5"/>
      <c r="K288" s="5"/>
      <c r="L288" s="5"/>
      <c r="M288" s="6"/>
      <c r="N288" s="7"/>
      <c r="O288" s="2"/>
      <c r="P288" s="2"/>
      <c r="Q288" s="2"/>
      <c r="R288" s="15"/>
      <c r="S288" s="16"/>
      <c r="T288" s="16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7"/>
      <c r="AJ288" s="12"/>
      <c r="AK288" s="12"/>
      <c r="AL288" s="13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4"/>
      <c r="BK288" s="14"/>
      <c r="BL288" s="14"/>
    </row>
    <row r="289" ht="15.75" customHeight="1">
      <c r="A289" s="2"/>
      <c r="B289" s="4"/>
      <c r="C289" s="2"/>
      <c r="D289" s="2"/>
      <c r="E289" s="2"/>
      <c r="F289" s="3"/>
      <c r="G289" s="2"/>
      <c r="H289" s="2"/>
      <c r="I289" s="2"/>
      <c r="J289" s="5"/>
      <c r="K289" s="5"/>
      <c r="L289" s="5"/>
      <c r="M289" s="6"/>
      <c r="N289" s="7"/>
      <c r="O289" s="2"/>
      <c r="P289" s="2"/>
      <c r="Q289" s="2"/>
      <c r="R289" s="15"/>
      <c r="S289" s="16"/>
      <c r="T289" s="16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7"/>
      <c r="AJ289" s="12"/>
      <c r="AK289" s="12"/>
      <c r="AL289" s="13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4"/>
      <c r="BK289" s="14"/>
      <c r="BL289" s="14"/>
    </row>
    <row r="290" ht="15.75" customHeight="1">
      <c r="A290" s="2"/>
      <c r="B290" s="4"/>
      <c r="C290" s="2"/>
      <c r="D290" s="2"/>
      <c r="E290" s="2"/>
      <c r="F290" s="3"/>
      <c r="G290" s="2"/>
      <c r="H290" s="2"/>
      <c r="I290" s="2"/>
      <c r="J290" s="5"/>
      <c r="K290" s="5"/>
      <c r="L290" s="5"/>
      <c r="M290" s="6"/>
      <c r="N290" s="7"/>
      <c r="O290" s="2"/>
      <c r="P290" s="2"/>
      <c r="Q290" s="2"/>
      <c r="R290" s="15"/>
      <c r="S290" s="16"/>
      <c r="T290" s="16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7"/>
      <c r="AJ290" s="12"/>
      <c r="AK290" s="12"/>
      <c r="AL290" s="13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4"/>
      <c r="BK290" s="14"/>
      <c r="BL290" s="14"/>
    </row>
    <row r="291" ht="15.75" customHeight="1">
      <c r="A291" s="2"/>
      <c r="B291" s="4"/>
      <c r="C291" s="2"/>
      <c r="D291" s="2"/>
      <c r="E291" s="2"/>
      <c r="F291" s="3"/>
      <c r="G291" s="2"/>
      <c r="H291" s="2"/>
      <c r="I291" s="2"/>
      <c r="J291" s="5"/>
      <c r="K291" s="5"/>
      <c r="L291" s="5"/>
      <c r="M291" s="6"/>
      <c r="N291" s="7"/>
      <c r="O291" s="2"/>
      <c r="P291" s="2"/>
      <c r="Q291" s="2"/>
      <c r="R291" s="15"/>
      <c r="S291" s="16"/>
      <c r="T291" s="16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7"/>
      <c r="AJ291" s="12"/>
      <c r="AK291" s="12"/>
      <c r="AL291" s="13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4"/>
      <c r="BK291" s="14"/>
      <c r="BL291" s="14"/>
    </row>
    <row r="292" ht="15.75" customHeight="1">
      <c r="A292" s="2"/>
      <c r="B292" s="4"/>
      <c r="C292" s="2"/>
      <c r="D292" s="2"/>
      <c r="E292" s="2"/>
      <c r="F292" s="3"/>
      <c r="G292" s="2"/>
      <c r="H292" s="2"/>
      <c r="I292" s="2"/>
      <c r="J292" s="5"/>
      <c r="K292" s="5"/>
      <c r="L292" s="5"/>
      <c r="M292" s="6"/>
      <c r="N292" s="7"/>
      <c r="O292" s="2"/>
      <c r="P292" s="2"/>
      <c r="Q292" s="2"/>
      <c r="R292" s="15"/>
      <c r="S292" s="16"/>
      <c r="T292" s="16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7"/>
      <c r="AJ292" s="12"/>
      <c r="AK292" s="12"/>
      <c r="AL292" s="13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4"/>
      <c r="BK292" s="14"/>
      <c r="BL292" s="14"/>
    </row>
    <row r="293" ht="15.75" customHeight="1">
      <c r="A293" s="2"/>
      <c r="B293" s="4"/>
      <c r="C293" s="2"/>
      <c r="D293" s="2"/>
      <c r="E293" s="2"/>
      <c r="F293" s="3"/>
      <c r="G293" s="2"/>
      <c r="H293" s="2"/>
      <c r="I293" s="2"/>
      <c r="J293" s="5"/>
      <c r="K293" s="5"/>
      <c r="L293" s="5"/>
      <c r="M293" s="6"/>
      <c r="N293" s="7"/>
      <c r="O293" s="2"/>
      <c r="P293" s="2"/>
      <c r="Q293" s="2"/>
      <c r="R293" s="15"/>
      <c r="S293" s="16"/>
      <c r="T293" s="16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7"/>
      <c r="AJ293" s="12"/>
      <c r="AK293" s="12"/>
      <c r="AL293" s="13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4"/>
      <c r="BK293" s="14"/>
      <c r="BL293" s="14"/>
    </row>
    <row r="294" ht="15.75" customHeight="1">
      <c r="A294" s="2"/>
      <c r="B294" s="4"/>
      <c r="C294" s="2"/>
      <c r="D294" s="2"/>
      <c r="E294" s="2"/>
      <c r="F294" s="3"/>
      <c r="G294" s="2"/>
      <c r="H294" s="2"/>
      <c r="I294" s="2"/>
      <c r="J294" s="5"/>
      <c r="K294" s="5"/>
      <c r="L294" s="5"/>
      <c r="M294" s="6"/>
      <c r="N294" s="7"/>
      <c r="O294" s="2"/>
      <c r="P294" s="2"/>
      <c r="Q294" s="2"/>
      <c r="R294" s="15"/>
      <c r="S294" s="16"/>
      <c r="T294" s="16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7"/>
      <c r="AJ294" s="12"/>
      <c r="AK294" s="12"/>
      <c r="AL294" s="13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4"/>
      <c r="BK294" s="14"/>
      <c r="BL294" s="14"/>
    </row>
    <row r="295" ht="15.75" customHeight="1">
      <c r="A295" s="2"/>
      <c r="B295" s="4"/>
      <c r="C295" s="2"/>
      <c r="D295" s="2"/>
      <c r="E295" s="2"/>
      <c r="F295" s="3"/>
      <c r="G295" s="2"/>
      <c r="H295" s="2"/>
      <c r="I295" s="2"/>
      <c r="J295" s="5"/>
      <c r="K295" s="5"/>
      <c r="L295" s="5"/>
      <c r="M295" s="6"/>
      <c r="N295" s="7"/>
      <c r="O295" s="2"/>
      <c r="P295" s="2"/>
      <c r="Q295" s="2"/>
      <c r="R295" s="15"/>
      <c r="S295" s="16"/>
      <c r="T295" s="16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7"/>
      <c r="AJ295" s="12"/>
      <c r="AK295" s="12"/>
      <c r="AL295" s="13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4"/>
      <c r="BK295" s="14"/>
      <c r="BL295" s="14"/>
    </row>
    <row r="296" ht="15.75" customHeight="1">
      <c r="A296" s="2"/>
      <c r="B296" s="4"/>
      <c r="C296" s="2"/>
      <c r="D296" s="2"/>
      <c r="E296" s="2"/>
      <c r="F296" s="3"/>
      <c r="G296" s="2"/>
      <c r="H296" s="2"/>
      <c r="I296" s="2"/>
      <c r="J296" s="5"/>
      <c r="K296" s="5"/>
      <c r="L296" s="5"/>
      <c r="M296" s="6"/>
      <c r="N296" s="7"/>
      <c r="O296" s="2"/>
      <c r="P296" s="2"/>
      <c r="Q296" s="2"/>
      <c r="R296" s="15"/>
      <c r="S296" s="16"/>
      <c r="T296" s="16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7"/>
      <c r="AJ296" s="12"/>
      <c r="AK296" s="12"/>
      <c r="AL296" s="13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4"/>
      <c r="BK296" s="14"/>
      <c r="BL296" s="14"/>
    </row>
    <row r="297" ht="15.75" customHeight="1">
      <c r="A297" s="2"/>
      <c r="B297" s="4"/>
      <c r="C297" s="2"/>
      <c r="D297" s="2"/>
      <c r="E297" s="2"/>
      <c r="F297" s="3"/>
      <c r="G297" s="2"/>
      <c r="H297" s="2"/>
      <c r="I297" s="2"/>
      <c r="J297" s="5"/>
      <c r="K297" s="5"/>
      <c r="L297" s="5"/>
      <c r="M297" s="6"/>
      <c r="N297" s="7"/>
      <c r="O297" s="2"/>
      <c r="P297" s="2"/>
      <c r="Q297" s="2"/>
      <c r="R297" s="15"/>
      <c r="S297" s="16"/>
      <c r="T297" s="16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7"/>
      <c r="AJ297" s="12"/>
      <c r="AK297" s="12"/>
      <c r="AL297" s="13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4"/>
      <c r="BK297" s="14"/>
      <c r="BL297" s="14"/>
    </row>
    <row r="298" ht="15.75" customHeight="1">
      <c r="A298" s="2"/>
      <c r="B298" s="4"/>
      <c r="C298" s="2"/>
      <c r="D298" s="2"/>
      <c r="E298" s="2"/>
      <c r="F298" s="3"/>
      <c r="G298" s="2"/>
      <c r="H298" s="2"/>
      <c r="I298" s="2"/>
      <c r="J298" s="5"/>
      <c r="K298" s="5"/>
      <c r="L298" s="5"/>
      <c r="M298" s="6"/>
      <c r="N298" s="7"/>
      <c r="O298" s="2"/>
      <c r="P298" s="2"/>
      <c r="Q298" s="2"/>
      <c r="R298" s="15"/>
      <c r="S298" s="16"/>
      <c r="T298" s="16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7"/>
      <c r="AJ298" s="12"/>
      <c r="AK298" s="12"/>
      <c r="AL298" s="13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4"/>
      <c r="BK298" s="14"/>
      <c r="BL298" s="14"/>
    </row>
    <row r="299" ht="15.75" customHeight="1">
      <c r="A299" s="2"/>
      <c r="B299" s="4"/>
      <c r="C299" s="2"/>
      <c r="D299" s="2"/>
      <c r="E299" s="2"/>
      <c r="F299" s="3"/>
      <c r="G299" s="2"/>
      <c r="H299" s="2"/>
      <c r="I299" s="2"/>
      <c r="J299" s="5"/>
      <c r="K299" s="5"/>
      <c r="L299" s="5"/>
      <c r="M299" s="6"/>
      <c r="N299" s="7"/>
      <c r="O299" s="2"/>
      <c r="P299" s="2"/>
      <c r="Q299" s="2"/>
      <c r="R299" s="15"/>
      <c r="S299" s="16"/>
      <c r="T299" s="16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7"/>
      <c r="AJ299" s="12"/>
      <c r="AK299" s="12"/>
      <c r="AL299" s="13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4"/>
      <c r="BK299" s="14"/>
      <c r="BL299" s="14"/>
    </row>
    <row r="300" ht="15.75" customHeight="1">
      <c r="A300" s="2"/>
      <c r="B300" s="4"/>
      <c r="C300" s="2"/>
      <c r="D300" s="2"/>
      <c r="E300" s="2"/>
      <c r="F300" s="3"/>
      <c r="G300" s="2"/>
      <c r="H300" s="2"/>
      <c r="I300" s="2"/>
      <c r="J300" s="5"/>
      <c r="K300" s="5"/>
      <c r="L300" s="5"/>
      <c r="M300" s="6"/>
      <c r="N300" s="7"/>
      <c r="O300" s="2"/>
      <c r="P300" s="2"/>
      <c r="Q300" s="2"/>
      <c r="R300" s="15"/>
      <c r="S300" s="16"/>
      <c r="T300" s="16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7"/>
      <c r="AJ300" s="12"/>
      <c r="AK300" s="12"/>
      <c r="AL300" s="13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4"/>
      <c r="BK300" s="14"/>
      <c r="BL300" s="14"/>
    </row>
    <row r="301" ht="15.75" customHeight="1">
      <c r="A301" s="2"/>
      <c r="B301" s="4"/>
      <c r="C301" s="2"/>
      <c r="D301" s="2"/>
      <c r="E301" s="2"/>
      <c r="F301" s="3"/>
      <c r="G301" s="2"/>
      <c r="H301" s="2"/>
      <c r="I301" s="2"/>
      <c r="J301" s="5"/>
      <c r="K301" s="5"/>
      <c r="L301" s="5"/>
      <c r="M301" s="6"/>
      <c r="N301" s="7"/>
      <c r="O301" s="2"/>
      <c r="P301" s="2"/>
      <c r="Q301" s="2"/>
      <c r="R301" s="15"/>
      <c r="S301" s="16"/>
      <c r="T301" s="16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7"/>
      <c r="AJ301" s="12"/>
      <c r="AK301" s="12"/>
      <c r="AL301" s="13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4"/>
      <c r="BK301" s="14"/>
      <c r="BL301" s="14"/>
    </row>
    <row r="302" ht="15.75" customHeight="1">
      <c r="A302" s="2"/>
      <c r="B302" s="4"/>
      <c r="C302" s="2"/>
      <c r="D302" s="2"/>
      <c r="E302" s="2"/>
      <c r="F302" s="3"/>
      <c r="G302" s="2"/>
      <c r="H302" s="2"/>
      <c r="I302" s="2"/>
      <c r="J302" s="5"/>
      <c r="K302" s="5"/>
      <c r="L302" s="5"/>
      <c r="M302" s="6"/>
      <c r="N302" s="7"/>
      <c r="O302" s="2"/>
      <c r="P302" s="2"/>
      <c r="Q302" s="2"/>
      <c r="R302" s="15"/>
      <c r="S302" s="16"/>
      <c r="T302" s="16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7"/>
      <c r="AJ302" s="12"/>
      <c r="AK302" s="12"/>
      <c r="AL302" s="13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4"/>
      <c r="BK302" s="14"/>
      <c r="BL302" s="14"/>
    </row>
    <row r="303" ht="15.75" customHeight="1">
      <c r="A303" s="2"/>
      <c r="B303" s="4"/>
      <c r="C303" s="2"/>
      <c r="D303" s="2"/>
      <c r="E303" s="2"/>
      <c r="F303" s="3"/>
      <c r="G303" s="2"/>
      <c r="H303" s="2"/>
      <c r="I303" s="2"/>
      <c r="J303" s="5"/>
      <c r="K303" s="5"/>
      <c r="L303" s="5"/>
      <c r="M303" s="6"/>
      <c r="N303" s="7"/>
      <c r="O303" s="2"/>
      <c r="P303" s="2"/>
      <c r="Q303" s="2"/>
      <c r="R303" s="15"/>
      <c r="S303" s="16"/>
      <c r="T303" s="16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7"/>
      <c r="AJ303" s="12"/>
      <c r="AK303" s="12"/>
      <c r="AL303" s="13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4"/>
      <c r="BK303" s="14"/>
      <c r="BL303" s="14"/>
    </row>
    <row r="304" ht="15.75" customHeight="1">
      <c r="A304" s="2"/>
      <c r="B304" s="4"/>
      <c r="C304" s="2"/>
      <c r="D304" s="2"/>
      <c r="E304" s="2"/>
      <c r="F304" s="3"/>
      <c r="G304" s="2"/>
      <c r="H304" s="2"/>
      <c r="I304" s="2"/>
      <c r="J304" s="5"/>
      <c r="K304" s="5"/>
      <c r="L304" s="5"/>
      <c r="M304" s="6"/>
      <c r="N304" s="7"/>
      <c r="O304" s="2"/>
      <c r="P304" s="2"/>
      <c r="Q304" s="2"/>
      <c r="R304" s="15"/>
      <c r="S304" s="16"/>
      <c r="T304" s="16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7"/>
      <c r="AJ304" s="12"/>
      <c r="AK304" s="12"/>
      <c r="AL304" s="13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4"/>
      <c r="BK304" s="14"/>
      <c r="BL304" s="14"/>
    </row>
    <row r="305" ht="15.75" customHeight="1">
      <c r="A305" s="2"/>
      <c r="B305" s="4"/>
      <c r="C305" s="2"/>
      <c r="D305" s="2"/>
      <c r="E305" s="2"/>
      <c r="F305" s="3"/>
      <c r="G305" s="2"/>
      <c r="H305" s="2"/>
      <c r="I305" s="2"/>
      <c r="J305" s="5"/>
      <c r="K305" s="5"/>
      <c r="L305" s="5"/>
      <c r="M305" s="6"/>
      <c r="N305" s="7"/>
      <c r="O305" s="2"/>
      <c r="P305" s="2"/>
      <c r="Q305" s="2"/>
      <c r="R305" s="15"/>
      <c r="S305" s="16"/>
      <c r="T305" s="16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7"/>
      <c r="AJ305" s="12"/>
      <c r="AK305" s="12"/>
      <c r="AL305" s="13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4"/>
      <c r="BK305" s="14"/>
      <c r="BL305" s="14"/>
    </row>
    <row r="306" ht="15.75" customHeight="1">
      <c r="A306" s="2"/>
      <c r="B306" s="4"/>
      <c r="C306" s="2"/>
      <c r="D306" s="2"/>
      <c r="E306" s="2"/>
      <c r="F306" s="3"/>
      <c r="G306" s="2"/>
      <c r="H306" s="2"/>
      <c r="I306" s="2"/>
      <c r="J306" s="5"/>
      <c r="K306" s="5"/>
      <c r="L306" s="5"/>
      <c r="M306" s="6"/>
      <c r="N306" s="7"/>
      <c r="O306" s="2"/>
      <c r="P306" s="2"/>
      <c r="Q306" s="2"/>
      <c r="R306" s="15"/>
      <c r="S306" s="16"/>
      <c r="T306" s="16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7"/>
      <c r="AJ306" s="12"/>
      <c r="AK306" s="12"/>
      <c r="AL306" s="13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4"/>
      <c r="BK306" s="14"/>
      <c r="BL306" s="14"/>
    </row>
    <row r="307" ht="15.75" customHeight="1">
      <c r="A307" s="2"/>
      <c r="B307" s="4"/>
      <c r="C307" s="2"/>
      <c r="D307" s="2"/>
      <c r="E307" s="2"/>
      <c r="F307" s="3"/>
      <c r="G307" s="2"/>
      <c r="H307" s="2"/>
      <c r="I307" s="2"/>
      <c r="J307" s="5"/>
      <c r="K307" s="5"/>
      <c r="L307" s="5"/>
      <c r="M307" s="6"/>
      <c r="N307" s="7"/>
      <c r="O307" s="2"/>
      <c r="P307" s="2"/>
      <c r="Q307" s="2"/>
      <c r="R307" s="15"/>
      <c r="S307" s="16"/>
      <c r="T307" s="16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7"/>
      <c r="AJ307" s="12"/>
      <c r="AK307" s="12"/>
      <c r="AL307" s="13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4"/>
      <c r="BK307" s="14"/>
      <c r="BL307" s="14"/>
    </row>
    <row r="308" ht="15.75" customHeight="1">
      <c r="A308" s="2"/>
      <c r="B308" s="4"/>
      <c r="C308" s="2"/>
      <c r="D308" s="2"/>
      <c r="E308" s="2"/>
      <c r="F308" s="3"/>
      <c r="G308" s="2"/>
      <c r="H308" s="2"/>
      <c r="I308" s="2"/>
      <c r="J308" s="5"/>
      <c r="K308" s="5"/>
      <c r="L308" s="5"/>
      <c r="M308" s="6"/>
      <c r="N308" s="7"/>
      <c r="O308" s="2"/>
      <c r="P308" s="2"/>
      <c r="Q308" s="2"/>
      <c r="R308" s="15"/>
      <c r="S308" s="16"/>
      <c r="T308" s="16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7"/>
      <c r="AJ308" s="12"/>
      <c r="AK308" s="12"/>
      <c r="AL308" s="13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4"/>
      <c r="BK308" s="14"/>
      <c r="BL308" s="14"/>
    </row>
    <row r="309" ht="15.75" customHeight="1">
      <c r="A309" s="2"/>
      <c r="B309" s="4"/>
      <c r="C309" s="2"/>
      <c r="D309" s="2"/>
      <c r="E309" s="2"/>
      <c r="F309" s="3"/>
      <c r="G309" s="2"/>
      <c r="H309" s="2"/>
      <c r="I309" s="2"/>
      <c r="J309" s="5"/>
      <c r="K309" s="5"/>
      <c r="L309" s="5"/>
      <c r="M309" s="6"/>
      <c r="N309" s="7"/>
      <c r="O309" s="2"/>
      <c r="P309" s="2"/>
      <c r="Q309" s="2"/>
      <c r="R309" s="15"/>
      <c r="S309" s="16"/>
      <c r="T309" s="16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7"/>
      <c r="AJ309" s="12"/>
      <c r="AK309" s="12"/>
      <c r="AL309" s="13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4"/>
      <c r="BK309" s="14"/>
      <c r="BL309" s="14"/>
    </row>
    <row r="310" ht="15.75" customHeight="1">
      <c r="A310" s="2"/>
      <c r="B310" s="4"/>
      <c r="C310" s="2"/>
      <c r="D310" s="2"/>
      <c r="E310" s="2"/>
      <c r="F310" s="3"/>
      <c r="G310" s="2"/>
      <c r="H310" s="2"/>
      <c r="I310" s="2"/>
      <c r="J310" s="5"/>
      <c r="K310" s="5"/>
      <c r="L310" s="5"/>
      <c r="M310" s="6"/>
      <c r="N310" s="7"/>
      <c r="O310" s="2"/>
      <c r="P310" s="2"/>
      <c r="Q310" s="2"/>
      <c r="R310" s="15"/>
      <c r="S310" s="16"/>
      <c r="T310" s="16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7"/>
      <c r="AJ310" s="12"/>
      <c r="AK310" s="12"/>
      <c r="AL310" s="13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4"/>
      <c r="BK310" s="14"/>
      <c r="BL310" s="1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5"/>
      <c r="S311" s="16"/>
      <c r="T311" s="16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7"/>
      <c r="AJ311" s="12"/>
      <c r="AK311" s="12"/>
      <c r="AL311" s="13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4"/>
      <c r="BK311" s="14"/>
      <c r="BL311" s="1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5"/>
      <c r="S312" s="16"/>
      <c r="T312" s="16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7"/>
      <c r="AJ312" s="12"/>
      <c r="AK312" s="12"/>
      <c r="AL312" s="13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4"/>
      <c r="BK312" s="14"/>
      <c r="BL312" s="1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5"/>
      <c r="S313" s="16"/>
      <c r="T313" s="16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7"/>
      <c r="AJ313" s="12"/>
      <c r="AK313" s="12"/>
      <c r="AL313" s="13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4"/>
      <c r="BK313" s="14"/>
      <c r="BL313" s="1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5"/>
      <c r="S314" s="16"/>
      <c r="T314" s="16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7"/>
      <c r="AJ314" s="12"/>
      <c r="AK314" s="12"/>
      <c r="AL314" s="13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4"/>
      <c r="BK314" s="14"/>
      <c r="BL314" s="1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5"/>
      <c r="S315" s="16"/>
      <c r="T315" s="16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7"/>
      <c r="AJ315" s="12"/>
      <c r="AK315" s="12"/>
      <c r="AL315" s="13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4"/>
      <c r="BK315" s="14"/>
      <c r="BL315" s="1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5"/>
      <c r="S316" s="16"/>
      <c r="T316" s="16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7"/>
      <c r="AJ316" s="12"/>
      <c r="AK316" s="12"/>
      <c r="AL316" s="13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4"/>
      <c r="BK316" s="14"/>
      <c r="BL316" s="1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5"/>
      <c r="S317" s="16"/>
      <c r="T317" s="16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7"/>
      <c r="AJ317" s="12"/>
      <c r="AK317" s="12"/>
      <c r="AL317" s="13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4"/>
      <c r="BK317" s="14"/>
      <c r="BL317" s="1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5"/>
      <c r="S318" s="16"/>
      <c r="T318" s="16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7"/>
      <c r="AJ318" s="12"/>
      <c r="AK318" s="12"/>
      <c r="AL318" s="13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4"/>
      <c r="BK318" s="14"/>
      <c r="BL318" s="1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5"/>
      <c r="S319" s="16"/>
      <c r="T319" s="16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7"/>
      <c r="AJ319" s="12"/>
      <c r="AK319" s="12"/>
      <c r="AL319" s="13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4"/>
      <c r="BK319" s="14"/>
      <c r="BL319" s="1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5"/>
      <c r="S320" s="16"/>
      <c r="T320" s="16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7"/>
      <c r="AJ320" s="12"/>
      <c r="AK320" s="12"/>
      <c r="AL320" s="13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4"/>
      <c r="BK320" s="14"/>
      <c r="BL320" s="1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5"/>
      <c r="S321" s="16"/>
      <c r="T321" s="16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7"/>
      <c r="AJ321" s="12"/>
      <c r="AK321" s="12"/>
      <c r="AL321" s="13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4"/>
      <c r="BK321" s="14"/>
      <c r="BL321" s="1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5"/>
      <c r="S322" s="16"/>
      <c r="T322" s="16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7"/>
      <c r="AJ322" s="12"/>
      <c r="AK322" s="12"/>
      <c r="AL322" s="13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4"/>
      <c r="BK322" s="14"/>
      <c r="BL322" s="1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5"/>
      <c r="S323" s="16"/>
      <c r="T323" s="16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7"/>
      <c r="AJ323" s="12"/>
      <c r="AK323" s="12"/>
      <c r="AL323" s="13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4"/>
      <c r="BK323" s="14"/>
      <c r="BL323" s="1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5"/>
      <c r="S324" s="16"/>
      <c r="T324" s="16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7"/>
      <c r="AJ324" s="12"/>
      <c r="AK324" s="12"/>
      <c r="AL324" s="13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4"/>
      <c r="BK324" s="14"/>
      <c r="BL324" s="1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5"/>
      <c r="S325" s="16"/>
      <c r="T325" s="16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7"/>
      <c r="AJ325" s="12"/>
      <c r="AK325" s="12"/>
      <c r="AL325" s="13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4"/>
      <c r="BK325" s="14"/>
      <c r="BL325" s="1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5"/>
      <c r="S326" s="16"/>
      <c r="T326" s="16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7"/>
      <c r="AJ326" s="12"/>
      <c r="AK326" s="12"/>
      <c r="AL326" s="13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4"/>
      <c r="BK326" s="14"/>
      <c r="BL326" s="1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5"/>
      <c r="S327" s="16"/>
      <c r="T327" s="16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7"/>
      <c r="AJ327" s="12"/>
      <c r="AK327" s="12"/>
      <c r="AL327" s="13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4"/>
      <c r="BK327" s="14"/>
      <c r="BL327" s="1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5"/>
      <c r="S328" s="16"/>
      <c r="T328" s="16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7"/>
      <c r="AJ328" s="12"/>
      <c r="AK328" s="12"/>
      <c r="AL328" s="13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4"/>
      <c r="BK328" s="14"/>
      <c r="BL328" s="1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5"/>
      <c r="S329" s="16"/>
      <c r="T329" s="16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7"/>
      <c r="AJ329" s="12"/>
      <c r="AK329" s="12"/>
      <c r="AL329" s="13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4"/>
      <c r="BK329" s="14"/>
      <c r="BL329" s="1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5"/>
      <c r="S330" s="16"/>
      <c r="T330" s="16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7"/>
      <c r="AJ330" s="12"/>
      <c r="AK330" s="12"/>
      <c r="AL330" s="13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4"/>
      <c r="BK330" s="14"/>
      <c r="BL330" s="1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5"/>
      <c r="S331" s="16"/>
      <c r="T331" s="16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7"/>
      <c r="AJ331" s="12"/>
      <c r="AK331" s="12"/>
      <c r="AL331" s="13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4"/>
      <c r="BK331" s="14"/>
      <c r="BL331" s="1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5"/>
      <c r="S332" s="16"/>
      <c r="T332" s="16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7"/>
      <c r="AJ332" s="12"/>
      <c r="AK332" s="12"/>
      <c r="AL332" s="13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4"/>
      <c r="BK332" s="14"/>
      <c r="BL332" s="1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5"/>
      <c r="S333" s="16"/>
      <c r="T333" s="16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7"/>
      <c r="AJ333" s="12"/>
      <c r="AK333" s="12"/>
      <c r="AL333" s="13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4"/>
      <c r="BK333" s="14"/>
      <c r="BL333" s="1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5"/>
      <c r="S334" s="16"/>
      <c r="T334" s="16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7"/>
      <c r="AJ334" s="12"/>
      <c r="AK334" s="12"/>
      <c r="AL334" s="13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4"/>
      <c r="BK334" s="14"/>
      <c r="BL334" s="1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5"/>
      <c r="S335" s="16"/>
      <c r="T335" s="16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7"/>
      <c r="AJ335" s="12"/>
      <c r="AK335" s="12"/>
      <c r="AL335" s="13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4"/>
      <c r="BK335" s="14"/>
      <c r="BL335" s="1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5"/>
      <c r="S336" s="16"/>
      <c r="T336" s="16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7"/>
      <c r="AJ336" s="12"/>
      <c r="AK336" s="12"/>
      <c r="AL336" s="13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4"/>
      <c r="BK336" s="14"/>
      <c r="BL336" s="1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5"/>
      <c r="S337" s="16"/>
      <c r="T337" s="16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7"/>
      <c r="AJ337" s="12"/>
      <c r="AK337" s="12"/>
      <c r="AL337" s="13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4"/>
      <c r="BK337" s="14"/>
      <c r="BL337" s="1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5"/>
      <c r="S338" s="16"/>
      <c r="T338" s="16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7"/>
      <c r="AJ338" s="12"/>
      <c r="AK338" s="12"/>
      <c r="AL338" s="13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4"/>
      <c r="BK338" s="14"/>
      <c r="BL338" s="1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5"/>
      <c r="S339" s="16"/>
      <c r="T339" s="16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7"/>
      <c r="AJ339" s="12"/>
      <c r="AK339" s="12"/>
      <c r="AL339" s="13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4"/>
      <c r="BK339" s="14"/>
      <c r="BL339" s="1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5"/>
      <c r="S340" s="16"/>
      <c r="T340" s="16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7"/>
      <c r="AJ340" s="12"/>
      <c r="AK340" s="12"/>
      <c r="AL340" s="13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4"/>
      <c r="BK340" s="14"/>
      <c r="BL340" s="1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5"/>
      <c r="S341" s="16"/>
      <c r="T341" s="16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7"/>
      <c r="AJ341" s="12"/>
      <c r="AK341" s="12"/>
      <c r="AL341" s="13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4"/>
      <c r="BK341" s="14"/>
      <c r="BL341" s="1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5"/>
      <c r="S342" s="16"/>
      <c r="T342" s="16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7"/>
      <c r="AJ342" s="12"/>
      <c r="AK342" s="12"/>
      <c r="AL342" s="13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4"/>
      <c r="BK342" s="14"/>
      <c r="BL342" s="1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5"/>
      <c r="S343" s="16"/>
      <c r="T343" s="16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7"/>
      <c r="AJ343" s="12"/>
      <c r="AK343" s="12"/>
      <c r="AL343" s="13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4"/>
      <c r="BK343" s="14"/>
      <c r="BL343" s="1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5"/>
      <c r="S344" s="16"/>
      <c r="T344" s="16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7"/>
      <c r="AJ344" s="12"/>
      <c r="AK344" s="12"/>
      <c r="AL344" s="13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4"/>
      <c r="BK344" s="14"/>
      <c r="BL344" s="1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5"/>
      <c r="S345" s="16"/>
      <c r="T345" s="16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7"/>
      <c r="AJ345" s="12"/>
      <c r="AK345" s="12"/>
      <c r="AL345" s="13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4"/>
      <c r="BK345" s="14"/>
      <c r="BL345" s="1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5"/>
      <c r="S346" s="16"/>
      <c r="T346" s="16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7"/>
      <c r="AJ346" s="12"/>
      <c r="AK346" s="12"/>
      <c r="AL346" s="13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4"/>
      <c r="BK346" s="14"/>
      <c r="BL346" s="1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5"/>
      <c r="S347" s="16"/>
      <c r="T347" s="16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7"/>
      <c r="AJ347" s="12"/>
      <c r="AK347" s="12"/>
      <c r="AL347" s="13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4"/>
      <c r="BK347" s="14"/>
      <c r="BL347" s="1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5"/>
      <c r="S348" s="16"/>
      <c r="T348" s="16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7"/>
      <c r="AJ348" s="12"/>
      <c r="AK348" s="12"/>
      <c r="AL348" s="13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4"/>
      <c r="BK348" s="14"/>
      <c r="BL348" s="1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5"/>
      <c r="S349" s="16"/>
      <c r="T349" s="16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7"/>
      <c r="AJ349" s="12"/>
      <c r="AK349" s="12"/>
      <c r="AL349" s="13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4"/>
      <c r="BK349" s="14"/>
      <c r="BL349" s="1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5"/>
      <c r="S350" s="16"/>
      <c r="T350" s="16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7"/>
      <c r="AJ350" s="12"/>
      <c r="AK350" s="12"/>
      <c r="AL350" s="13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4"/>
      <c r="BK350" s="14"/>
      <c r="BL350" s="1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5"/>
      <c r="S351" s="16"/>
      <c r="T351" s="16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7"/>
      <c r="AJ351" s="12"/>
      <c r="AK351" s="12"/>
      <c r="AL351" s="13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4"/>
      <c r="BK351" s="14"/>
      <c r="BL351" s="1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5"/>
      <c r="S352" s="16"/>
      <c r="T352" s="16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7"/>
      <c r="AJ352" s="12"/>
      <c r="AK352" s="12"/>
      <c r="AL352" s="13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4"/>
      <c r="BK352" s="14"/>
      <c r="BL352" s="1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5"/>
      <c r="S353" s="16"/>
      <c r="T353" s="16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7"/>
      <c r="AJ353" s="12"/>
      <c r="AK353" s="12"/>
      <c r="AL353" s="13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4"/>
      <c r="BK353" s="14"/>
      <c r="BL353" s="1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5"/>
      <c r="S354" s="16"/>
      <c r="T354" s="16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7"/>
      <c r="AJ354" s="12"/>
      <c r="AK354" s="12"/>
      <c r="AL354" s="13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4"/>
      <c r="BK354" s="14"/>
      <c r="BL354" s="1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5"/>
      <c r="S355" s="16"/>
      <c r="T355" s="16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7"/>
      <c r="AJ355" s="12"/>
      <c r="AK355" s="12"/>
      <c r="AL355" s="13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4"/>
      <c r="BK355" s="14"/>
      <c r="BL355" s="1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5"/>
      <c r="S356" s="16"/>
      <c r="T356" s="16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7"/>
      <c r="AJ356" s="12"/>
      <c r="AK356" s="12"/>
      <c r="AL356" s="13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4"/>
      <c r="BK356" s="14"/>
      <c r="BL356" s="1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5"/>
      <c r="S357" s="16"/>
      <c r="T357" s="16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7"/>
      <c r="AJ357" s="12"/>
      <c r="AK357" s="12"/>
      <c r="AL357" s="13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4"/>
      <c r="BK357" s="14"/>
      <c r="BL357" s="1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5"/>
      <c r="S358" s="16"/>
      <c r="T358" s="16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7"/>
      <c r="AJ358" s="12"/>
      <c r="AK358" s="12"/>
      <c r="AL358" s="13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4"/>
      <c r="BK358" s="14"/>
      <c r="BL358" s="1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5"/>
      <c r="S359" s="16"/>
      <c r="T359" s="16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7"/>
      <c r="AJ359" s="12"/>
      <c r="AK359" s="12"/>
      <c r="AL359" s="13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4"/>
      <c r="BK359" s="14"/>
      <c r="BL359" s="1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5"/>
      <c r="S360" s="16"/>
      <c r="T360" s="16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7"/>
      <c r="AJ360" s="12"/>
      <c r="AK360" s="12"/>
      <c r="AL360" s="13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4"/>
      <c r="BK360" s="14"/>
      <c r="BL360" s="1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5"/>
      <c r="S361" s="16"/>
      <c r="T361" s="16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7"/>
      <c r="AJ361" s="12"/>
      <c r="AK361" s="12"/>
      <c r="AL361" s="13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4"/>
      <c r="BK361" s="14"/>
      <c r="BL361" s="1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5"/>
      <c r="S362" s="16"/>
      <c r="T362" s="16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7"/>
      <c r="AJ362" s="12"/>
      <c r="AK362" s="12"/>
      <c r="AL362" s="13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4"/>
      <c r="BK362" s="14"/>
      <c r="BL362" s="1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5"/>
      <c r="S363" s="16"/>
      <c r="T363" s="16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7"/>
      <c r="AJ363" s="12"/>
      <c r="AK363" s="12"/>
      <c r="AL363" s="13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4"/>
      <c r="BK363" s="14"/>
      <c r="BL363" s="1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5"/>
      <c r="S364" s="16"/>
      <c r="T364" s="16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7"/>
      <c r="AJ364" s="12"/>
      <c r="AK364" s="12"/>
      <c r="AL364" s="13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4"/>
      <c r="BK364" s="14"/>
      <c r="BL364" s="1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5"/>
      <c r="S365" s="16"/>
      <c r="T365" s="16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7"/>
      <c r="AJ365" s="12"/>
      <c r="AK365" s="12"/>
      <c r="AL365" s="13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4"/>
      <c r="BK365" s="14"/>
      <c r="BL365" s="1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5"/>
      <c r="S366" s="16"/>
      <c r="T366" s="16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7"/>
      <c r="AJ366" s="12"/>
      <c r="AK366" s="12"/>
      <c r="AL366" s="13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4"/>
      <c r="BK366" s="14"/>
      <c r="BL366" s="1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5"/>
      <c r="S367" s="16"/>
      <c r="T367" s="16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7"/>
      <c r="AJ367" s="12"/>
      <c r="AK367" s="12"/>
      <c r="AL367" s="13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4"/>
      <c r="BK367" s="14"/>
      <c r="BL367" s="1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5"/>
      <c r="S368" s="16"/>
      <c r="T368" s="16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7"/>
      <c r="AJ368" s="12"/>
      <c r="AK368" s="12"/>
      <c r="AL368" s="13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4"/>
      <c r="BK368" s="14"/>
      <c r="BL368" s="1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5"/>
      <c r="S369" s="16"/>
      <c r="T369" s="16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7"/>
      <c r="AJ369" s="12"/>
      <c r="AK369" s="12"/>
      <c r="AL369" s="13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4"/>
      <c r="BK369" s="14"/>
      <c r="BL369" s="1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5"/>
      <c r="S370" s="16"/>
      <c r="T370" s="16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7"/>
      <c r="AJ370" s="12"/>
      <c r="AK370" s="12"/>
      <c r="AL370" s="13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4"/>
      <c r="BK370" s="14"/>
      <c r="BL370" s="1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5"/>
      <c r="S371" s="16"/>
      <c r="T371" s="16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7"/>
      <c r="AJ371" s="12"/>
      <c r="AK371" s="12"/>
      <c r="AL371" s="13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4"/>
      <c r="BK371" s="14"/>
      <c r="BL371" s="1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5"/>
      <c r="S372" s="16"/>
      <c r="T372" s="16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7"/>
      <c r="AJ372" s="12"/>
      <c r="AK372" s="12"/>
      <c r="AL372" s="13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4"/>
      <c r="BK372" s="14"/>
      <c r="BL372" s="1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5"/>
      <c r="S373" s="16"/>
      <c r="T373" s="16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7"/>
      <c r="AJ373" s="12"/>
      <c r="AK373" s="12"/>
      <c r="AL373" s="13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4"/>
      <c r="BK373" s="14"/>
      <c r="BL373" s="1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5"/>
      <c r="S374" s="16"/>
      <c r="T374" s="16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7"/>
      <c r="AJ374" s="12"/>
      <c r="AK374" s="12"/>
      <c r="AL374" s="13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4"/>
      <c r="BK374" s="14"/>
      <c r="BL374" s="1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5"/>
      <c r="S375" s="16"/>
      <c r="T375" s="16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7"/>
      <c r="AJ375" s="12"/>
      <c r="AK375" s="12"/>
      <c r="AL375" s="13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4"/>
      <c r="BK375" s="14"/>
      <c r="BL375" s="1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5"/>
      <c r="S376" s="16"/>
      <c r="T376" s="16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7"/>
      <c r="AJ376" s="12"/>
      <c r="AK376" s="12"/>
      <c r="AL376" s="13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4"/>
      <c r="BK376" s="14"/>
      <c r="BL376" s="1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5"/>
      <c r="S377" s="16"/>
      <c r="T377" s="16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7"/>
      <c r="AJ377" s="12"/>
      <c r="AK377" s="12"/>
      <c r="AL377" s="13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4"/>
      <c r="BK377" s="14"/>
      <c r="BL377" s="1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5"/>
      <c r="S378" s="16"/>
      <c r="T378" s="16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7"/>
      <c r="AJ378" s="12"/>
      <c r="AK378" s="12"/>
      <c r="AL378" s="13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4"/>
      <c r="BK378" s="14"/>
      <c r="BL378" s="1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5"/>
      <c r="S379" s="16"/>
      <c r="T379" s="16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7"/>
      <c r="AJ379" s="12"/>
      <c r="AK379" s="12"/>
      <c r="AL379" s="13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4"/>
      <c r="BK379" s="14"/>
      <c r="BL379" s="1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5"/>
      <c r="S380" s="16"/>
      <c r="T380" s="16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7"/>
      <c r="AJ380" s="12"/>
      <c r="AK380" s="12"/>
      <c r="AL380" s="13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4"/>
      <c r="BK380" s="14"/>
      <c r="BL380" s="1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5"/>
      <c r="S381" s="16"/>
      <c r="T381" s="16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7"/>
      <c r="AJ381" s="12"/>
      <c r="AK381" s="12"/>
      <c r="AL381" s="13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4"/>
      <c r="BK381" s="14"/>
      <c r="BL381" s="1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5"/>
      <c r="S382" s="16"/>
      <c r="T382" s="16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7"/>
      <c r="AJ382" s="12"/>
      <c r="AK382" s="12"/>
      <c r="AL382" s="13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4"/>
      <c r="BK382" s="14"/>
      <c r="BL382" s="1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5"/>
      <c r="S383" s="16"/>
      <c r="T383" s="16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7"/>
      <c r="AJ383" s="12"/>
      <c r="AK383" s="12"/>
      <c r="AL383" s="13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4"/>
      <c r="BK383" s="14"/>
      <c r="BL383" s="1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5"/>
      <c r="S384" s="16"/>
      <c r="T384" s="16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7"/>
      <c r="AJ384" s="12"/>
      <c r="AK384" s="12"/>
      <c r="AL384" s="13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4"/>
      <c r="BK384" s="14"/>
      <c r="BL384" s="1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5"/>
      <c r="S385" s="16"/>
      <c r="T385" s="16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7"/>
      <c r="AJ385" s="12"/>
      <c r="AK385" s="12"/>
      <c r="AL385" s="13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4"/>
      <c r="BK385" s="14"/>
      <c r="BL385" s="1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5"/>
      <c r="S386" s="16"/>
      <c r="T386" s="16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7"/>
      <c r="AJ386" s="12"/>
      <c r="AK386" s="12"/>
      <c r="AL386" s="13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4"/>
      <c r="BK386" s="14"/>
      <c r="BL386" s="1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5"/>
      <c r="S387" s="16"/>
      <c r="T387" s="16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7"/>
      <c r="AJ387" s="12"/>
      <c r="AK387" s="12"/>
      <c r="AL387" s="13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4"/>
      <c r="BK387" s="14"/>
      <c r="BL387" s="1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5"/>
      <c r="S388" s="16"/>
      <c r="T388" s="16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7"/>
      <c r="AJ388" s="12"/>
      <c r="AK388" s="12"/>
      <c r="AL388" s="13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4"/>
      <c r="BK388" s="14"/>
      <c r="BL388" s="1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5"/>
      <c r="S389" s="16"/>
      <c r="T389" s="16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7"/>
      <c r="AJ389" s="12"/>
      <c r="AK389" s="12"/>
      <c r="AL389" s="13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4"/>
      <c r="BK389" s="14"/>
      <c r="BL389" s="1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5"/>
      <c r="S390" s="16"/>
      <c r="T390" s="16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7"/>
      <c r="AJ390" s="12"/>
      <c r="AK390" s="12"/>
      <c r="AL390" s="13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4"/>
      <c r="BK390" s="14"/>
      <c r="BL390" s="1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5"/>
      <c r="S391" s="16"/>
      <c r="T391" s="16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7"/>
      <c r="AJ391" s="12"/>
      <c r="AK391" s="12"/>
      <c r="AL391" s="13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4"/>
      <c r="BK391" s="14"/>
      <c r="BL391" s="1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5"/>
      <c r="S392" s="16"/>
      <c r="T392" s="16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7"/>
      <c r="AJ392" s="12"/>
      <c r="AK392" s="12"/>
      <c r="AL392" s="13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4"/>
      <c r="BK392" s="14"/>
      <c r="BL392" s="1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5"/>
      <c r="S393" s="16"/>
      <c r="T393" s="16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7"/>
      <c r="AJ393" s="12"/>
      <c r="AK393" s="12"/>
      <c r="AL393" s="13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4"/>
      <c r="BK393" s="14"/>
      <c r="BL393" s="1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5"/>
      <c r="S394" s="16"/>
      <c r="T394" s="16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7"/>
      <c r="AJ394" s="12"/>
      <c r="AK394" s="12"/>
      <c r="AL394" s="13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4"/>
      <c r="BK394" s="14"/>
      <c r="BL394" s="1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5"/>
      <c r="S395" s="16"/>
      <c r="T395" s="16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7"/>
      <c r="AJ395" s="12"/>
      <c r="AK395" s="12"/>
      <c r="AL395" s="13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4"/>
      <c r="BK395" s="14"/>
      <c r="BL395" s="1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5"/>
      <c r="S396" s="16"/>
      <c r="T396" s="16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7"/>
      <c r="AJ396" s="12"/>
      <c r="AK396" s="12"/>
      <c r="AL396" s="13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4"/>
      <c r="BK396" s="14"/>
      <c r="BL396" s="1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5"/>
      <c r="S397" s="16"/>
      <c r="T397" s="16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7"/>
      <c r="AJ397" s="12"/>
      <c r="AK397" s="12"/>
      <c r="AL397" s="13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4"/>
      <c r="BK397" s="14"/>
      <c r="BL397" s="1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5"/>
      <c r="S398" s="16"/>
      <c r="T398" s="16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7"/>
      <c r="AJ398" s="12"/>
      <c r="AK398" s="12"/>
      <c r="AL398" s="13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4"/>
      <c r="BK398" s="14"/>
      <c r="BL398" s="1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5"/>
      <c r="S399" s="16"/>
      <c r="T399" s="16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7"/>
      <c r="AJ399" s="12"/>
      <c r="AK399" s="12"/>
      <c r="AL399" s="13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4"/>
      <c r="BK399" s="14"/>
      <c r="BL399" s="1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5"/>
      <c r="S400" s="16"/>
      <c r="T400" s="16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7"/>
      <c r="AJ400" s="12"/>
      <c r="AK400" s="12"/>
      <c r="AL400" s="13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4"/>
      <c r="BK400" s="14"/>
      <c r="BL400" s="1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5"/>
      <c r="S401" s="16"/>
      <c r="T401" s="16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7"/>
      <c r="AJ401" s="12"/>
      <c r="AK401" s="12"/>
      <c r="AL401" s="13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4"/>
      <c r="BK401" s="14"/>
      <c r="BL401" s="1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5"/>
      <c r="S402" s="16"/>
      <c r="T402" s="16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7"/>
      <c r="AJ402" s="12"/>
      <c r="AK402" s="12"/>
      <c r="AL402" s="13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4"/>
      <c r="BK402" s="14"/>
      <c r="BL402" s="1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5"/>
      <c r="S403" s="16"/>
      <c r="T403" s="16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7"/>
      <c r="AJ403" s="12"/>
      <c r="AK403" s="12"/>
      <c r="AL403" s="13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4"/>
      <c r="BK403" s="14"/>
      <c r="BL403" s="1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5"/>
      <c r="S404" s="16"/>
      <c r="T404" s="16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7"/>
      <c r="AJ404" s="12"/>
      <c r="AK404" s="12"/>
      <c r="AL404" s="13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4"/>
      <c r="BK404" s="14"/>
      <c r="BL404" s="1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5"/>
      <c r="S405" s="16"/>
      <c r="T405" s="16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7"/>
      <c r="AJ405" s="12"/>
      <c r="AK405" s="12"/>
      <c r="AL405" s="13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4"/>
      <c r="BK405" s="14"/>
      <c r="BL405" s="1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5"/>
      <c r="S406" s="16"/>
      <c r="T406" s="16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7"/>
      <c r="AJ406" s="12"/>
      <c r="AK406" s="12"/>
      <c r="AL406" s="13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4"/>
      <c r="BK406" s="14"/>
      <c r="BL406" s="1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5"/>
      <c r="S407" s="16"/>
      <c r="T407" s="16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7"/>
      <c r="AJ407" s="12"/>
      <c r="AK407" s="12"/>
      <c r="AL407" s="13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4"/>
      <c r="BK407" s="14"/>
      <c r="BL407" s="1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5"/>
      <c r="S408" s="16"/>
      <c r="T408" s="16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7"/>
      <c r="AJ408" s="12"/>
      <c r="AK408" s="12"/>
      <c r="AL408" s="13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4"/>
      <c r="BK408" s="14"/>
      <c r="BL408" s="1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5"/>
      <c r="S409" s="16"/>
      <c r="T409" s="16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7"/>
      <c r="AJ409" s="12"/>
      <c r="AK409" s="12"/>
      <c r="AL409" s="13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4"/>
      <c r="BK409" s="14"/>
      <c r="BL409" s="1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5"/>
      <c r="S410" s="16"/>
      <c r="T410" s="16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7"/>
      <c r="AJ410" s="12"/>
      <c r="AK410" s="12"/>
      <c r="AL410" s="13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4"/>
      <c r="BK410" s="14"/>
      <c r="BL410" s="1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5"/>
      <c r="S411" s="16"/>
      <c r="T411" s="16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7"/>
      <c r="AJ411" s="12"/>
      <c r="AK411" s="12"/>
      <c r="AL411" s="13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4"/>
      <c r="BK411" s="14"/>
      <c r="BL411" s="1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5"/>
      <c r="S412" s="16"/>
      <c r="T412" s="16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7"/>
      <c r="AJ412" s="12"/>
      <c r="AK412" s="12"/>
      <c r="AL412" s="13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4"/>
      <c r="BK412" s="14"/>
      <c r="BL412" s="1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5"/>
      <c r="S413" s="16"/>
      <c r="T413" s="16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7"/>
      <c r="AJ413" s="12"/>
      <c r="AK413" s="12"/>
      <c r="AL413" s="13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4"/>
      <c r="BK413" s="14"/>
      <c r="BL413" s="1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5"/>
      <c r="S414" s="16"/>
      <c r="T414" s="16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7"/>
      <c r="AJ414" s="12"/>
      <c r="AK414" s="12"/>
      <c r="AL414" s="13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4"/>
      <c r="BK414" s="14"/>
      <c r="BL414" s="1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5"/>
      <c r="S415" s="16"/>
      <c r="T415" s="16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7"/>
      <c r="AJ415" s="12"/>
      <c r="AK415" s="12"/>
      <c r="AL415" s="13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4"/>
      <c r="BK415" s="14"/>
      <c r="BL415" s="1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5"/>
      <c r="S416" s="16"/>
      <c r="T416" s="16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7"/>
      <c r="AJ416" s="12"/>
      <c r="AK416" s="12"/>
      <c r="AL416" s="13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4"/>
      <c r="BK416" s="14"/>
      <c r="BL416" s="1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5"/>
      <c r="S417" s="16"/>
      <c r="T417" s="16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7"/>
      <c r="AJ417" s="12"/>
      <c r="AK417" s="12"/>
      <c r="AL417" s="13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4"/>
      <c r="BK417" s="14"/>
      <c r="BL417" s="1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5"/>
      <c r="S418" s="16"/>
      <c r="T418" s="16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7"/>
      <c r="AJ418" s="12"/>
      <c r="AK418" s="12"/>
      <c r="AL418" s="13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4"/>
      <c r="BK418" s="14"/>
      <c r="BL418" s="1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5"/>
      <c r="S419" s="16"/>
      <c r="T419" s="16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7"/>
      <c r="AJ419" s="12"/>
      <c r="AK419" s="12"/>
      <c r="AL419" s="13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4"/>
      <c r="BK419" s="14"/>
      <c r="BL419" s="1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5"/>
      <c r="S420" s="16"/>
      <c r="T420" s="16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7"/>
      <c r="AJ420" s="12"/>
      <c r="AK420" s="12"/>
      <c r="AL420" s="13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4"/>
      <c r="BK420" s="14"/>
      <c r="BL420" s="1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5"/>
      <c r="S421" s="16"/>
      <c r="T421" s="16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7"/>
      <c r="AJ421" s="12"/>
      <c r="AK421" s="12"/>
      <c r="AL421" s="13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4"/>
      <c r="BK421" s="14"/>
      <c r="BL421" s="1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5"/>
      <c r="S422" s="16"/>
      <c r="T422" s="16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7"/>
      <c r="AJ422" s="12"/>
      <c r="AK422" s="12"/>
      <c r="AL422" s="13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4"/>
      <c r="BK422" s="14"/>
      <c r="BL422" s="1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5"/>
      <c r="S423" s="16"/>
      <c r="T423" s="16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7"/>
      <c r="AJ423" s="12"/>
      <c r="AK423" s="12"/>
      <c r="AL423" s="13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4"/>
      <c r="BK423" s="14"/>
      <c r="BL423" s="1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5"/>
      <c r="S424" s="16"/>
      <c r="T424" s="16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7"/>
      <c r="AJ424" s="12"/>
      <c r="AK424" s="12"/>
      <c r="AL424" s="13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4"/>
      <c r="BK424" s="14"/>
      <c r="BL424" s="1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5"/>
      <c r="S425" s="16"/>
      <c r="T425" s="16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7"/>
      <c r="AJ425" s="12"/>
      <c r="AK425" s="12"/>
      <c r="AL425" s="13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4"/>
      <c r="BK425" s="14"/>
      <c r="BL425" s="1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5"/>
      <c r="S426" s="16"/>
      <c r="T426" s="16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7"/>
      <c r="AJ426" s="12"/>
      <c r="AK426" s="12"/>
      <c r="AL426" s="13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4"/>
      <c r="BK426" s="14"/>
      <c r="BL426" s="1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5"/>
      <c r="S427" s="16"/>
      <c r="T427" s="16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7"/>
      <c r="AJ427" s="12"/>
      <c r="AK427" s="12"/>
      <c r="AL427" s="13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4"/>
      <c r="BK427" s="14"/>
      <c r="BL427" s="1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5"/>
      <c r="S428" s="16"/>
      <c r="T428" s="16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7"/>
      <c r="AJ428" s="12"/>
      <c r="AK428" s="12"/>
      <c r="AL428" s="13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4"/>
      <c r="BK428" s="14"/>
      <c r="BL428" s="1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5"/>
      <c r="S429" s="16"/>
      <c r="T429" s="16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7"/>
      <c r="AJ429" s="12"/>
      <c r="AK429" s="12"/>
      <c r="AL429" s="13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4"/>
      <c r="BK429" s="14"/>
      <c r="BL429" s="1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5"/>
      <c r="S430" s="16"/>
      <c r="T430" s="16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7"/>
      <c r="AJ430" s="12"/>
      <c r="AK430" s="12"/>
      <c r="AL430" s="13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4"/>
      <c r="BK430" s="14"/>
      <c r="BL430" s="1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5"/>
      <c r="S431" s="16"/>
      <c r="T431" s="16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7"/>
      <c r="AJ431" s="12"/>
      <c r="AK431" s="12"/>
      <c r="AL431" s="13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4"/>
      <c r="BK431" s="14"/>
      <c r="BL431" s="1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5"/>
      <c r="S432" s="16"/>
      <c r="T432" s="16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7"/>
      <c r="AJ432" s="12"/>
      <c r="AK432" s="12"/>
      <c r="AL432" s="13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4"/>
      <c r="BK432" s="14"/>
      <c r="BL432" s="1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5"/>
      <c r="S433" s="16"/>
      <c r="T433" s="16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7"/>
      <c r="AJ433" s="12"/>
      <c r="AK433" s="12"/>
      <c r="AL433" s="13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4"/>
      <c r="BK433" s="14"/>
      <c r="BL433" s="1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5"/>
      <c r="S434" s="16"/>
      <c r="T434" s="16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7"/>
      <c r="AJ434" s="12"/>
      <c r="AK434" s="12"/>
      <c r="AL434" s="13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4"/>
      <c r="BK434" s="14"/>
      <c r="BL434" s="1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5"/>
      <c r="S435" s="16"/>
      <c r="T435" s="16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7"/>
      <c r="AJ435" s="12"/>
      <c r="AK435" s="12"/>
      <c r="AL435" s="13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4"/>
      <c r="BK435" s="14"/>
      <c r="BL435" s="1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5"/>
      <c r="S436" s="16"/>
      <c r="T436" s="16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7"/>
      <c r="AJ436" s="12"/>
      <c r="AK436" s="12"/>
      <c r="AL436" s="13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4"/>
      <c r="BK436" s="14"/>
      <c r="BL436" s="1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5"/>
      <c r="S437" s="16"/>
      <c r="T437" s="16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7"/>
      <c r="AJ437" s="12"/>
      <c r="AK437" s="12"/>
      <c r="AL437" s="13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4"/>
      <c r="BK437" s="14"/>
      <c r="BL437" s="1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5"/>
      <c r="S438" s="16"/>
      <c r="T438" s="16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7"/>
      <c r="AJ438" s="12"/>
      <c r="AK438" s="12"/>
      <c r="AL438" s="13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4"/>
      <c r="BK438" s="14"/>
      <c r="BL438" s="1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5"/>
      <c r="S439" s="16"/>
      <c r="T439" s="16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7"/>
      <c r="AJ439" s="12"/>
      <c r="AK439" s="12"/>
      <c r="AL439" s="13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4"/>
      <c r="BK439" s="14"/>
      <c r="BL439" s="1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5"/>
      <c r="S440" s="16"/>
      <c r="T440" s="16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7"/>
      <c r="AJ440" s="12"/>
      <c r="AK440" s="12"/>
      <c r="AL440" s="13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4"/>
      <c r="BK440" s="14"/>
      <c r="BL440" s="1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5"/>
      <c r="S441" s="16"/>
      <c r="T441" s="16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7"/>
      <c r="AJ441" s="12"/>
      <c r="AK441" s="12"/>
      <c r="AL441" s="13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4"/>
      <c r="BK441" s="14"/>
      <c r="BL441" s="1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5"/>
      <c r="S442" s="16"/>
      <c r="T442" s="16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7"/>
      <c r="AJ442" s="12"/>
      <c r="AK442" s="12"/>
      <c r="AL442" s="13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4"/>
      <c r="BK442" s="14"/>
      <c r="BL442" s="1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5"/>
      <c r="S443" s="16"/>
      <c r="T443" s="16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7"/>
      <c r="AJ443" s="12"/>
      <c r="AK443" s="12"/>
      <c r="AL443" s="13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4"/>
      <c r="BK443" s="14"/>
      <c r="BL443" s="1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5"/>
      <c r="S444" s="16"/>
      <c r="T444" s="16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7"/>
      <c r="AJ444" s="12"/>
      <c r="AK444" s="12"/>
      <c r="AL444" s="13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4"/>
      <c r="BK444" s="14"/>
      <c r="BL444" s="1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5"/>
      <c r="S445" s="16"/>
      <c r="T445" s="16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7"/>
      <c r="AJ445" s="12"/>
      <c r="AK445" s="12"/>
      <c r="AL445" s="13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4"/>
      <c r="BK445" s="14"/>
      <c r="BL445" s="1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5"/>
      <c r="S446" s="16"/>
      <c r="T446" s="16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7"/>
      <c r="AJ446" s="12"/>
      <c r="AK446" s="12"/>
      <c r="AL446" s="13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4"/>
      <c r="BK446" s="14"/>
      <c r="BL446" s="1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5"/>
      <c r="S447" s="16"/>
      <c r="T447" s="16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7"/>
      <c r="AJ447" s="12"/>
      <c r="AK447" s="12"/>
      <c r="AL447" s="13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4"/>
      <c r="BK447" s="14"/>
      <c r="BL447" s="1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5"/>
      <c r="S448" s="16"/>
      <c r="T448" s="16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7"/>
      <c r="AJ448" s="12"/>
      <c r="AK448" s="12"/>
      <c r="AL448" s="13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4"/>
      <c r="BK448" s="14"/>
      <c r="BL448" s="1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5"/>
      <c r="S449" s="16"/>
      <c r="T449" s="16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7"/>
      <c r="AJ449" s="12"/>
      <c r="AK449" s="12"/>
      <c r="AL449" s="13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4"/>
      <c r="BK449" s="14"/>
      <c r="BL449" s="1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5"/>
      <c r="S450" s="16"/>
      <c r="T450" s="16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7"/>
      <c r="AJ450" s="12"/>
      <c r="AK450" s="12"/>
      <c r="AL450" s="13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4"/>
      <c r="BK450" s="14"/>
      <c r="BL450" s="1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5"/>
      <c r="S451" s="16"/>
      <c r="T451" s="16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7"/>
      <c r="AJ451" s="12"/>
      <c r="AK451" s="12"/>
      <c r="AL451" s="13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4"/>
      <c r="BK451" s="14"/>
      <c r="BL451" s="1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5"/>
      <c r="S452" s="16"/>
      <c r="T452" s="16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7"/>
      <c r="AJ452" s="12"/>
      <c r="AK452" s="12"/>
      <c r="AL452" s="13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4"/>
      <c r="BK452" s="14"/>
      <c r="BL452" s="1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5"/>
      <c r="S453" s="16"/>
      <c r="T453" s="16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7"/>
      <c r="AJ453" s="12"/>
      <c r="AK453" s="12"/>
      <c r="AL453" s="13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4"/>
      <c r="BK453" s="14"/>
      <c r="BL453" s="1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5"/>
      <c r="S454" s="16"/>
      <c r="T454" s="16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7"/>
      <c r="AJ454" s="12"/>
      <c r="AK454" s="12"/>
      <c r="AL454" s="13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4"/>
      <c r="BK454" s="14"/>
      <c r="BL454" s="1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5"/>
      <c r="S455" s="16"/>
      <c r="T455" s="16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7"/>
      <c r="AJ455" s="12"/>
      <c r="AK455" s="12"/>
      <c r="AL455" s="13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4"/>
      <c r="BK455" s="14"/>
      <c r="BL455" s="1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5"/>
      <c r="S456" s="16"/>
      <c r="T456" s="16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7"/>
      <c r="AJ456" s="12"/>
      <c r="AK456" s="12"/>
      <c r="AL456" s="13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4"/>
      <c r="BK456" s="14"/>
      <c r="BL456" s="1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5"/>
      <c r="S457" s="16"/>
      <c r="T457" s="16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7"/>
      <c r="AJ457" s="12"/>
      <c r="AK457" s="12"/>
      <c r="AL457" s="13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4"/>
      <c r="BK457" s="14"/>
      <c r="BL457" s="1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5"/>
      <c r="S458" s="16"/>
      <c r="T458" s="16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7"/>
      <c r="AJ458" s="12"/>
      <c r="AK458" s="12"/>
      <c r="AL458" s="13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4"/>
      <c r="BK458" s="14"/>
      <c r="BL458" s="1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5"/>
      <c r="S459" s="16"/>
      <c r="T459" s="16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7"/>
      <c r="AJ459" s="12"/>
      <c r="AK459" s="12"/>
      <c r="AL459" s="13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4"/>
      <c r="BK459" s="14"/>
      <c r="BL459" s="1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5"/>
      <c r="S460" s="16"/>
      <c r="T460" s="16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7"/>
      <c r="AJ460" s="12"/>
      <c r="AK460" s="12"/>
      <c r="AL460" s="13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4"/>
      <c r="BK460" s="14"/>
      <c r="BL460" s="1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5"/>
      <c r="S461" s="16"/>
      <c r="T461" s="16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7"/>
      <c r="AJ461" s="12"/>
      <c r="AK461" s="12"/>
      <c r="AL461" s="13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4"/>
      <c r="BK461" s="14"/>
      <c r="BL461" s="1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5"/>
      <c r="S462" s="16"/>
      <c r="T462" s="16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7"/>
      <c r="AJ462" s="12"/>
      <c r="AK462" s="12"/>
      <c r="AL462" s="13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4"/>
      <c r="BK462" s="14"/>
      <c r="BL462" s="1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5"/>
      <c r="S463" s="16"/>
      <c r="T463" s="16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7"/>
      <c r="AJ463" s="12"/>
      <c r="AK463" s="12"/>
      <c r="AL463" s="13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4"/>
      <c r="BK463" s="14"/>
      <c r="BL463" s="1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5"/>
      <c r="S464" s="16"/>
      <c r="T464" s="16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7"/>
      <c r="AJ464" s="12"/>
      <c r="AK464" s="12"/>
      <c r="AL464" s="13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4"/>
      <c r="BK464" s="14"/>
      <c r="BL464" s="1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5"/>
      <c r="S465" s="16"/>
      <c r="T465" s="16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7"/>
      <c r="AJ465" s="12"/>
      <c r="AK465" s="12"/>
      <c r="AL465" s="13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4"/>
      <c r="BK465" s="14"/>
      <c r="BL465" s="1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5"/>
      <c r="S466" s="16"/>
      <c r="T466" s="16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7"/>
      <c r="AJ466" s="12"/>
      <c r="AK466" s="12"/>
      <c r="AL466" s="13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4"/>
      <c r="BK466" s="14"/>
      <c r="BL466" s="1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5"/>
      <c r="S467" s="16"/>
      <c r="T467" s="16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7"/>
      <c r="AJ467" s="12"/>
      <c r="AK467" s="12"/>
      <c r="AL467" s="13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4"/>
      <c r="BK467" s="14"/>
      <c r="BL467" s="1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5"/>
      <c r="S468" s="16"/>
      <c r="T468" s="16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7"/>
      <c r="AJ468" s="12"/>
      <c r="AK468" s="12"/>
      <c r="AL468" s="13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4"/>
      <c r="BK468" s="14"/>
      <c r="BL468" s="1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5"/>
      <c r="S469" s="16"/>
      <c r="T469" s="16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7"/>
      <c r="AJ469" s="12"/>
      <c r="AK469" s="12"/>
      <c r="AL469" s="13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4"/>
      <c r="BK469" s="14"/>
      <c r="BL469" s="1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5"/>
      <c r="S470" s="16"/>
      <c r="T470" s="16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7"/>
      <c r="AJ470" s="12"/>
      <c r="AK470" s="12"/>
      <c r="AL470" s="13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4"/>
      <c r="BK470" s="14"/>
      <c r="BL470" s="1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5"/>
      <c r="S471" s="16"/>
      <c r="T471" s="16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7"/>
      <c r="AJ471" s="12"/>
      <c r="AK471" s="12"/>
      <c r="AL471" s="13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4"/>
      <c r="BK471" s="14"/>
      <c r="BL471" s="1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5"/>
      <c r="S472" s="16"/>
      <c r="T472" s="16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7"/>
      <c r="AJ472" s="12"/>
      <c r="AK472" s="12"/>
      <c r="AL472" s="13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4"/>
      <c r="BK472" s="14"/>
      <c r="BL472" s="1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5"/>
      <c r="S473" s="16"/>
      <c r="T473" s="16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7"/>
      <c r="AJ473" s="12"/>
      <c r="AK473" s="12"/>
      <c r="AL473" s="13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4"/>
      <c r="BK473" s="14"/>
      <c r="BL473" s="1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5"/>
      <c r="S474" s="16"/>
      <c r="T474" s="16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7"/>
      <c r="AJ474" s="12"/>
      <c r="AK474" s="12"/>
      <c r="AL474" s="13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4"/>
      <c r="BK474" s="14"/>
      <c r="BL474" s="1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5"/>
      <c r="S475" s="16"/>
      <c r="T475" s="16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7"/>
      <c r="AJ475" s="12"/>
      <c r="AK475" s="12"/>
      <c r="AL475" s="13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4"/>
      <c r="BK475" s="14"/>
      <c r="BL475" s="1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5"/>
      <c r="S476" s="16"/>
      <c r="T476" s="16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7"/>
      <c r="AJ476" s="12"/>
      <c r="AK476" s="12"/>
      <c r="AL476" s="13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4"/>
      <c r="BK476" s="14"/>
      <c r="BL476" s="1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5"/>
      <c r="S477" s="16"/>
      <c r="T477" s="16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7"/>
      <c r="AJ477" s="12"/>
      <c r="AK477" s="12"/>
      <c r="AL477" s="13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4"/>
      <c r="BK477" s="14"/>
      <c r="BL477" s="1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5"/>
      <c r="S478" s="16"/>
      <c r="T478" s="16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7"/>
      <c r="AJ478" s="12"/>
      <c r="AK478" s="12"/>
      <c r="AL478" s="13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4"/>
      <c r="BK478" s="14"/>
      <c r="BL478" s="1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5"/>
      <c r="S479" s="16"/>
      <c r="T479" s="16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7"/>
      <c r="AJ479" s="12"/>
      <c r="AK479" s="12"/>
      <c r="AL479" s="13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4"/>
      <c r="BK479" s="14"/>
      <c r="BL479" s="1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5"/>
      <c r="S480" s="16"/>
      <c r="T480" s="16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7"/>
      <c r="AJ480" s="12"/>
      <c r="AK480" s="12"/>
      <c r="AL480" s="13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4"/>
      <c r="BK480" s="14"/>
      <c r="BL480" s="1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5"/>
      <c r="S481" s="16"/>
      <c r="T481" s="16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7"/>
      <c r="AJ481" s="12"/>
      <c r="AK481" s="12"/>
      <c r="AL481" s="13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4"/>
      <c r="BK481" s="14"/>
      <c r="BL481" s="1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5"/>
      <c r="S482" s="16"/>
      <c r="T482" s="16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7"/>
      <c r="AJ482" s="12"/>
      <c r="AK482" s="12"/>
      <c r="AL482" s="13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4"/>
      <c r="BK482" s="14"/>
      <c r="BL482" s="1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5"/>
      <c r="S483" s="16"/>
      <c r="T483" s="16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7"/>
      <c r="AJ483" s="12"/>
      <c r="AK483" s="12"/>
      <c r="AL483" s="13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4"/>
      <c r="BK483" s="14"/>
      <c r="BL483" s="1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5"/>
      <c r="S484" s="16"/>
      <c r="T484" s="16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7"/>
      <c r="AJ484" s="12"/>
      <c r="AK484" s="12"/>
      <c r="AL484" s="13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4"/>
      <c r="BK484" s="14"/>
      <c r="BL484" s="1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5"/>
      <c r="S485" s="16"/>
      <c r="T485" s="16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7"/>
      <c r="AJ485" s="12"/>
      <c r="AK485" s="12"/>
      <c r="AL485" s="13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4"/>
      <c r="BK485" s="14"/>
      <c r="BL485" s="1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5"/>
      <c r="S486" s="16"/>
      <c r="T486" s="16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7"/>
      <c r="AJ486" s="12"/>
      <c r="AK486" s="12"/>
      <c r="AL486" s="13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4"/>
      <c r="BK486" s="14"/>
      <c r="BL486" s="1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5"/>
      <c r="S487" s="16"/>
      <c r="T487" s="16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7"/>
      <c r="AJ487" s="12"/>
      <c r="AK487" s="12"/>
      <c r="AL487" s="13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4"/>
      <c r="BK487" s="14"/>
      <c r="BL487" s="1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5"/>
      <c r="S488" s="16"/>
      <c r="T488" s="16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7"/>
      <c r="AJ488" s="12"/>
      <c r="AK488" s="12"/>
      <c r="AL488" s="13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4"/>
      <c r="BK488" s="14"/>
      <c r="BL488" s="1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5"/>
      <c r="S489" s="16"/>
      <c r="T489" s="16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7"/>
      <c r="AJ489" s="12"/>
      <c r="AK489" s="12"/>
      <c r="AL489" s="13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4"/>
      <c r="BK489" s="14"/>
      <c r="BL489" s="1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5"/>
      <c r="S490" s="16"/>
      <c r="T490" s="16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7"/>
      <c r="AJ490" s="12"/>
      <c r="AK490" s="12"/>
      <c r="AL490" s="13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4"/>
      <c r="BK490" s="14"/>
      <c r="BL490" s="1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5"/>
      <c r="S491" s="16"/>
      <c r="T491" s="16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7"/>
      <c r="AJ491" s="12"/>
      <c r="AK491" s="12"/>
      <c r="AL491" s="13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4"/>
      <c r="BK491" s="14"/>
      <c r="BL491" s="1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5"/>
      <c r="S492" s="16"/>
      <c r="T492" s="16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7"/>
      <c r="AJ492" s="12"/>
      <c r="AK492" s="12"/>
      <c r="AL492" s="13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4"/>
      <c r="BK492" s="14"/>
      <c r="BL492" s="1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5"/>
      <c r="S493" s="16"/>
      <c r="T493" s="16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7"/>
      <c r="AJ493" s="12"/>
      <c r="AK493" s="12"/>
      <c r="AL493" s="13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4"/>
      <c r="BK493" s="14"/>
      <c r="BL493" s="1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5"/>
      <c r="S494" s="16"/>
      <c r="T494" s="16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7"/>
      <c r="AJ494" s="12"/>
      <c r="AK494" s="12"/>
      <c r="AL494" s="13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4"/>
      <c r="BK494" s="14"/>
      <c r="BL494" s="1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5"/>
      <c r="S495" s="16"/>
      <c r="T495" s="16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7"/>
      <c r="AJ495" s="12"/>
      <c r="AK495" s="12"/>
      <c r="AL495" s="13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4"/>
      <c r="BK495" s="14"/>
      <c r="BL495" s="1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5"/>
      <c r="S496" s="16"/>
      <c r="T496" s="16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7"/>
      <c r="AJ496" s="12"/>
      <c r="AK496" s="12"/>
      <c r="AL496" s="13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4"/>
      <c r="BK496" s="14"/>
      <c r="BL496" s="1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5"/>
      <c r="S497" s="16"/>
      <c r="T497" s="16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7"/>
      <c r="AJ497" s="12"/>
      <c r="AK497" s="12"/>
      <c r="AL497" s="13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4"/>
      <c r="BK497" s="14"/>
      <c r="BL497" s="1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5"/>
      <c r="S498" s="16"/>
      <c r="T498" s="16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7"/>
      <c r="AJ498" s="12"/>
      <c r="AK498" s="12"/>
      <c r="AL498" s="13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4"/>
      <c r="BK498" s="14"/>
      <c r="BL498" s="1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5"/>
      <c r="S499" s="16"/>
      <c r="T499" s="16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7"/>
      <c r="AJ499" s="12"/>
      <c r="AK499" s="12"/>
      <c r="AL499" s="13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4"/>
      <c r="BK499" s="14"/>
      <c r="BL499" s="1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5"/>
      <c r="S500" s="16"/>
      <c r="T500" s="16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7"/>
      <c r="AJ500" s="12"/>
      <c r="AK500" s="12"/>
      <c r="AL500" s="13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4"/>
      <c r="BK500" s="14"/>
      <c r="BL500" s="1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5"/>
      <c r="S501" s="16"/>
      <c r="T501" s="16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7"/>
      <c r="AJ501" s="12"/>
      <c r="AK501" s="12"/>
      <c r="AL501" s="13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4"/>
      <c r="BK501" s="14"/>
      <c r="BL501" s="1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5"/>
      <c r="S502" s="16"/>
      <c r="T502" s="16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7"/>
      <c r="AJ502" s="12"/>
      <c r="AK502" s="12"/>
      <c r="AL502" s="13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4"/>
      <c r="BK502" s="14"/>
      <c r="BL502" s="1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5"/>
      <c r="S503" s="16"/>
      <c r="T503" s="16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7"/>
      <c r="AJ503" s="12"/>
      <c r="AK503" s="12"/>
      <c r="AL503" s="13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4"/>
      <c r="BK503" s="14"/>
      <c r="BL503" s="1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5"/>
      <c r="S504" s="16"/>
      <c r="T504" s="16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7"/>
      <c r="AJ504" s="12"/>
      <c r="AK504" s="12"/>
      <c r="AL504" s="13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4"/>
      <c r="BK504" s="14"/>
      <c r="BL504" s="1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5"/>
      <c r="S505" s="16"/>
      <c r="T505" s="16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7"/>
      <c r="AJ505" s="12"/>
      <c r="AK505" s="12"/>
      <c r="AL505" s="13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4"/>
      <c r="BK505" s="14"/>
      <c r="BL505" s="1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5"/>
      <c r="S506" s="16"/>
      <c r="T506" s="16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7"/>
      <c r="AJ506" s="12"/>
      <c r="AK506" s="12"/>
      <c r="AL506" s="13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4"/>
      <c r="BK506" s="14"/>
      <c r="BL506" s="1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5"/>
      <c r="S507" s="16"/>
      <c r="T507" s="16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7"/>
      <c r="AJ507" s="12"/>
      <c r="AK507" s="12"/>
      <c r="AL507" s="13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4"/>
      <c r="BK507" s="14"/>
      <c r="BL507" s="1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5"/>
      <c r="S508" s="16"/>
      <c r="T508" s="16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7"/>
      <c r="AJ508" s="12"/>
      <c r="AK508" s="12"/>
      <c r="AL508" s="13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4"/>
      <c r="BK508" s="14"/>
      <c r="BL508" s="1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5"/>
      <c r="S509" s="16"/>
      <c r="T509" s="16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7"/>
      <c r="AJ509" s="12"/>
      <c r="AK509" s="12"/>
      <c r="AL509" s="13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4"/>
      <c r="BK509" s="14"/>
      <c r="BL509" s="1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5"/>
      <c r="S510" s="16"/>
      <c r="T510" s="16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7"/>
      <c r="AJ510" s="12"/>
      <c r="AK510" s="12"/>
      <c r="AL510" s="13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4"/>
      <c r="BK510" s="14"/>
      <c r="BL510" s="1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5"/>
      <c r="S511" s="16"/>
      <c r="T511" s="16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7"/>
      <c r="AJ511" s="12"/>
      <c r="AK511" s="12"/>
      <c r="AL511" s="13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4"/>
      <c r="BK511" s="14"/>
      <c r="BL511" s="1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5"/>
      <c r="S512" s="16"/>
      <c r="T512" s="16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7"/>
      <c r="AJ512" s="12"/>
      <c r="AK512" s="12"/>
      <c r="AL512" s="13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4"/>
      <c r="BK512" s="14"/>
      <c r="BL512" s="1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5"/>
      <c r="S513" s="16"/>
      <c r="T513" s="16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7"/>
      <c r="AJ513" s="12"/>
      <c r="AK513" s="12"/>
      <c r="AL513" s="13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4"/>
      <c r="BK513" s="14"/>
      <c r="BL513" s="1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5"/>
      <c r="S514" s="16"/>
      <c r="T514" s="16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7"/>
      <c r="AJ514" s="12"/>
      <c r="AK514" s="12"/>
      <c r="AL514" s="13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4"/>
      <c r="BK514" s="14"/>
      <c r="BL514" s="1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5"/>
      <c r="S515" s="16"/>
      <c r="T515" s="16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7"/>
      <c r="AJ515" s="12"/>
      <c r="AK515" s="12"/>
      <c r="AL515" s="13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4"/>
      <c r="BK515" s="14"/>
      <c r="BL515" s="1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5"/>
      <c r="S516" s="16"/>
      <c r="T516" s="16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7"/>
      <c r="AJ516" s="12"/>
      <c r="AK516" s="12"/>
      <c r="AL516" s="13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4"/>
      <c r="BK516" s="14"/>
      <c r="BL516" s="1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5"/>
      <c r="S517" s="16"/>
      <c r="T517" s="16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7"/>
      <c r="AJ517" s="12"/>
      <c r="AK517" s="12"/>
      <c r="AL517" s="13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4"/>
      <c r="BK517" s="14"/>
      <c r="BL517" s="1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5"/>
      <c r="S518" s="16"/>
      <c r="T518" s="16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7"/>
      <c r="AJ518" s="12"/>
      <c r="AK518" s="12"/>
      <c r="AL518" s="13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4"/>
      <c r="BK518" s="14"/>
      <c r="BL518" s="1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5"/>
      <c r="S519" s="16"/>
      <c r="T519" s="16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7"/>
      <c r="AJ519" s="12"/>
      <c r="AK519" s="12"/>
      <c r="AL519" s="13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4"/>
      <c r="BK519" s="14"/>
      <c r="BL519" s="1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5"/>
      <c r="S520" s="16"/>
      <c r="T520" s="16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7"/>
      <c r="AJ520" s="12"/>
      <c r="AK520" s="12"/>
      <c r="AL520" s="13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4"/>
      <c r="BK520" s="14"/>
      <c r="BL520" s="1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5"/>
      <c r="S521" s="16"/>
      <c r="T521" s="16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7"/>
      <c r="AJ521" s="12"/>
      <c r="AK521" s="12"/>
      <c r="AL521" s="13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4"/>
      <c r="BK521" s="14"/>
      <c r="BL521" s="1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5"/>
      <c r="S522" s="16"/>
      <c r="T522" s="16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7"/>
      <c r="AJ522" s="12"/>
      <c r="AK522" s="12"/>
      <c r="AL522" s="13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4"/>
      <c r="BK522" s="14"/>
      <c r="BL522" s="1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5"/>
      <c r="S523" s="16"/>
      <c r="T523" s="16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7"/>
      <c r="AJ523" s="12"/>
      <c r="AK523" s="12"/>
      <c r="AL523" s="13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4"/>
      <c r="BK523" s="14"/>
      <c r="BL523" s="1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5"/>
      <c r="S524" s="16"/>
      <c r="T524" s="16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7"/>
      <c r="AJ524" s="12"/>
      <c r="AK524" s="12"/>
      <c r="AL524" s="13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4"/>
      <c r="BK524" s="14"/>
      <c r="BL524" s="1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5"/>
      <c r="S525" s="16"/>
      <c r="T525" s="16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7"/>
      <c r="AJ525" s="12"/>
      <c r="AK525" s="12"/>
      <c r="AL525" s="13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4"/>
      <c r="BK525" s="14"/>
      <c r="BL525" s="1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5"/>
      <c r="S526" s="16"/>
      <c r="T526" s="16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7"/>
      <c r="AJ526" s="12"/>
      <c r="AK526" s="12"/>
      <c r="AL526" s="13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4"/>
      <c r="BK526" s="14"/>
      <c r="BL526" s="1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5"/>
      <c r="S527" s="16"/>
      <c r="T527" s="16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7"/>
      <c r="AJ527" s="12"/>
      <c r="AK527" s="12"/>
      <c r="AL527" s="13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4"/>
      <c r="BK527" s="14"/>
      <c r="BL527" s="1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5"/>
      <c r="S528" s="16"/>
      <c r="T528" s="16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7"/>
      <c r="AJ528" s="12"/>
      <c r="AK528" s="12"/>
      <c r="AL528" s="13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4"/>
      <c r="BK528" s="14"/>
      <c r="BL528" s="1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5"/>
      <c r="S529" s="16"/>
      <c r="T529" s="16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7"/>
      <c r="AJ529" s="12"/>
      <c r="AK529" s="12"/>
      <c r="AL529" s="13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4"/>
      <c r="BK529" s="14"/>
      <c r="BL529" s="1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5"/>
      <c r="S530" s="16"/>
      <c r="T530" s="16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7"/>
      <c r="AJ530" s="12"/>
      <c r="AK530" s="12"/>
      <c r="AL530" s="13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4"/>
      <c r="BK530" s="14"/>
      <c r="BL530" s="1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5"/>
      <c r="S531" s="16"/>
      <c r="T531" s="16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7"/>
      <c r="AJ531" s="12"/>
      <c r="AK531" s="12"/>
      <c r="AL531" s="13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4"/>
      <c r="BK531" s="14"/>
      <c r="BL531" s="1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5"/>
      <c r="S532" s="16"/>
      <c r="T532" s="16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7"/>
      <c r="AJ532" s="12"/>
      <c r="AK532" s="12"/>
      <c r="AL532" s="13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4"/>
      <c r="BK532" s="14"/>
      <c r="BL532" s="1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5"/>
      <c r="S533" s="16"/>
      <c r="T533" s="16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7"/>
      <c r="AJ533" s="12"/>
      <c r="AK533" s="12"/>
      <c r="AL533" s="13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4"/>
      <c r="BK533" s="14"/>
      <c r="BL533" s="1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5"/>
      <c r="S534" s="16"/>
      <c r="T534" s="16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7"/>
      <c r="AJ534" s="12"/>
      <c r="AK534" s="12"/>
      <c r="AL534" s="13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4"/>
      <c r="BK534" s="14"/>
      <c r="BL534" s="1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5"/>
      <c r="S535" s="16"/>
      <c r="T535" s="16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7"/>
      <c r="AJ535" s="12"/>
      <c r="AK535" s="12"/>
      <c r="AL535" s="13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4"/>
      <c r="BK535" s="14"/>
      <c r="BL535" s="1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5"/>
      <c r="S536" s="16"/>
      <c r="T536" s="16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7"/>
      <c r="AJ536" s="12"/>
      <c r="AK536" s="12"/>
      <c r="AL536" s="13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4"/>
      <c r="BK536" s="14"/>
      <c r="BL536" s="1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5"/>
      <c r="S537" s="16"/>
      <c r="T537" s="16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7"/>
      <c r="AJ537" s="12"/>
      <c r="AK537" s="12"/>
      <c r="AL537" s="13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4"/>
      <c r="BK537" s="14"/>
      <c r="BL537" s="1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5"/>
      <c r="S538" s="16"/>
      <c r="T538" s="16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7"/>
      <c r="AJ538" s="12"/>
      <c r="AK538" s="12"/>
      <c r="AL538" s="13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4"/>
      <c r="BK538" s="14"/>
      <c r="BL538" s="1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5"/>
      <c r="S539" s="16"/>
      <c r="T539" s="16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7"/>
      <c r="AJ539" s="12"/>
      <c r="AK539" s="12"/>
      <c r="AL539" s="13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4"/>
      <c r="BK539" s="14"/>
      <c r="BL539" s="1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5"/>
      <c r="S540" s="16"/>
      <c r="T540" s="16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7"/>
      <c r="AJ540" s="12"/>
      <c r="AK540" s="12"/>
      <c r="AL540" s="13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4"/>
      <c r="BK540" s="14"/>
      <c r="BL540" s="1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5"/>
      <c r="S541" s="16"/>
      <c r="T541" s="16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7"/>
      <c r="AJ541" s="12"/>
      <c r="AK541" s="12"/>
      <c r="AL541" s="13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4"/>
      <c r="BK541" s="14"/>
      <c r="BL541" s="1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5"/>
      <c r="S542" s="16"/>
      <c r="T542" s="16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7"/>
      <c r="AJ542" s="12"/>
      <c r="AK542" s="12"/>
      <c r="AL542" s="13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4"/>
      <c r="BK542" s="14"/>
      <c r="BL542" s="1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5"/>
      <c r="S543" s="16"/>
      <c r="T543" s="16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7"/>
      <c r="AJ543" s="12"/>
      <c r="AK543" s="12"/>
      <c r="AL543" s="13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4"/>
      <c r="BK543" s="14"/>
      <c r="BL543" s="1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5"/>
      <c r="S544" s="16"/>
      <c r="T544" s="16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7"/>
      <c r="AJ544" s="12"/>
      <c r="AK544" s="12"/>
      <c r="AL544" s="13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4"/>
      <c r="BK544" s="14"/>
      <c r="BL544" s="1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5"/>
      <c r="S545" s="16"/>
      <c r="T545" s="16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7"/>
      <c r="AJ545" s="12"/>
      <c r="AK545" s="12"/>
      <c r="AL545" s="13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4"/>
      <c r="BK545" s="14"/>
      <c r="BL545" s="1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5"/>
      <c r="S546" s="16"/>
      <c r="T546" s="16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7"/>
      <c r="AJ546" s="12"/>
      <c r="AK546" s="12"/>
      <c r="AL546" s="13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4"/>
      <c r="BK546" s="14"/>
      <c r="BL546" s="1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5"/>
      <c r="S547" s="16"/>
      <c r="T547" s="16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7"/>
      <c r="AJ547" s="12"/>
      <c r="AK547" s="12"/>
      <c r="AL547" s="13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4"/>
      <c r="BK547" s="14"/>
      <c r="BL547" s="1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5"/>
      <c r="S548" s="16"/>
      <c r="T548" s="16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7"/>
      <c r="AJ548" s="12"/>
      <c r="AK548" s="12"/>
      <c r="AL548" s="13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4"/>
      <c r="BK548" s="14"/>
      <c r="BL548" s="1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5"/>
      <c r="S549" s="16"/>
      <c r="T549" s="16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7"/>
      <c r="AJ549" s="12"/>
      <c r="AK549" s="12"/>
      <c r="AL549" s="13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4"/>
      <c r="BK549" s="14"/>
      <c r="BL549" s="1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5"/>
      <c r="S550" s="16"/>
      <c r="T550" s="16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7"/>
      <c r="AJ550" s="12"/>
      <c r="AK550" s="12"/>
      <c r="AL550" s="13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4"/>
      <c r="BK550" s="14"/>
      <c r="BL550" s="1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5"/>
      <c r="S551" s="16"/>
      <c r="T551" s="16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7"/>
      <c r="AJ551" s="12"/>
      <c r="AK551" s="12"/>
      <c r="AL551" s="13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4"/>
      <c r="BK551" s="14"/>
      <c r="BL551" s="1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5"/>
      <c r="S552" s="16"/>
      <c r="T552" s="16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7"/>
      <c r="AJ552" s="12"/>
      <c r="AK552" s="12"/>
      <c r="AL552" s="13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4"/>
      <c r="BK552" s="14"/>
      <c r="BL552" s="1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5"/>
      <c r="S553" s="16"/>
      <c r="T553" s="16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7"/>
      <c r="AJ553" s="12"/>
      <c r="AK553" s="12"/>
      <c r="AL553" s="13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4"/>
      <c r="BK553" s="14"/>
      <c r="BL553" s="1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5"/>
      <c r="S554" s="16"/>
      <c r="T554" s="16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7"/>
      <c r="AJ554" s="12"/>
      <c r="AK554" s="12"/>
      <c r="AL554" s="13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4"/>
      <c r="BK554" s="14"/>
      <c r="BL554" s="1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5"/>
      <c r="S555" s="16"/>
      <c r="T555" s="16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7"/>
      <c r="AJ555" s="12"/>
      <c r="AK555" s="12"/>
      <c r="AL555" s="13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4"/>
      <c r="BK555" s="14"/>
      <c r="BL555" s="1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5"/>
      <c r="S556" s="16"/>
      <c r="T556" s="16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7"/>
      <c r="AJ556" s="12"/>
      <c r="AK556" s="12"/>
      <c r="AL556" s="13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4"/>
      <c r="BK556" s="14"/>
      <c r="BL556" s="1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5"/>
      <c r="S557" s="16"/>
      <c r="T557" s="16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7"/>
      <c r="AJ557" s="12"/>
      <c r="AK557" s="12"/>
      <c r="AL557" s="13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4"/>
      <c r="BK557" s="14"/>
      <c r="BL557" s="1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5"/>
      <c r="S558" s="16"/>
      <c r="T558" s="16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7"/>
      <c r="AJ558" s="12"/>
      <c r="AK558" s="12"/>
      <c r="AL558" s="13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4"/>
      <c r="BK558" s="14"/>
      <c r="BL558" s="1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5"/>
      <c r="S559" s="16"/>
      <c r="T559" s="16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7"/>
      <c r="AJ559" s="12"/>
      <c r="AK559" s="12"/>
      <c r="AL559" s="13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4"/>
      <c r="BK559" s="14"/>
      <c r="BL559" s="1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5"/>
      <c r="S560" s="16"/>
      <c r="T560" s="16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7"/>
      <c r="AJ560" s="12"/>
      <c r="AK560" s="12"/>
      <c r="AL560" s="13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4"/>
      <c r="BK560" s="14"/>
      <c r="BL560" s="1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5"/>
      <c r="S561" s="16"/>
      <c r="T561" s="16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7"/>
      <c r="AJ561" s="12"/>
      <c r="AK561" s="12"/>
      <c r="AL561" s="13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4"/>
      <c r="BK561" s="14"/>
      <c r="BL561" s="1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5"/>
      <c r="S562" s="16"/>
      <c r="T562" s="16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7"/>
      <c r="AJ562" s="12"/>
      <c r="AK562" s="12"/>
      <c r="AL562" s="13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4"/>
      <c r="BK562" s="14"/>
      <c r="BL562" s="1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5"/>
      <c r="S563" s="16"/>
      <c r="T563" s="16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7"/>
      <c r="AJ563" s="12"/>
      <c r="AK563" s="12"/>
      <c r="AL563" s="13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4"/>
      <c r="BK563" s="14"/>
      <c r="BL563" s="1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5"/>
      <c r="S564" s="16"/>
      <c r="T564" s="16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7"/>
      <c r="AJ564" s="12"/>
      <c r="AK564" s="12"/>
      <c r="AL564" s="13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4"/>
      <c r="BK564" s="14"/>
      <c r="BL564" s="1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5"/>
      <c r="S565" s="16"/>
      <c r="T565" s="16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7"/>
      <c r="AJ565" s="12"/>
      <c r="AK565" s="12"/>
      <c r="AL565" s="13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4"/>
      <c r="BK565" s="14"/>
      <c r="BL565" s="1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5"/>
      <c r="S566" s="16"/>
      <c r="T566" s="16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7"/>
      <c r="AJ566" s="12"/>
      <c r="AK566" s="12"/>
      <c r="AL566" s="13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4"/>
      <c r="BK566" s="14"/>
      <c r="BL566" s="1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5"/>
      <c r="S567" s="16"/>
      <c r="T567" s="16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7"/>
      <c r="AJ567" s="12"/>
      <c r="AK567" s="12"/>
      <c r="AL567" s="13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4"/>
      <c r="BK567" s="14"/>
      <c r="BL567" s="1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5"/>
      <c r="S568" s="16"/>
      <c r="T568" s="16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7"/>
      <c r="AJ568" s="12"/>
      <c r="AK568" s="12"/>
      <c r="AL568" s="13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4"/>
      <c r="BK568" s="14"/>
      <c r="BL568" s="1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5"/>
      <c r="S569" s="16"/>
      <c r="T569" s="16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7"/>
      <c r="AJ569" s="12"/>
      <c r="AK569" s="12"/>
      <c r="AL569" s="13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4"/>
      <c r="BK569" s="14"/>
      <c r="BL569" s="1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5"/>
      <c r="S570" s="16"/>
      <c r="T570" s="16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7"/>
      <c r="AJ570" s="12"/>
      <c r="AK570" s="12"/>
      <c r="AL570" s="13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4"/>
      <c r="BK570" s="14"/>
      <c r="BL570" s="1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5"/>
      <c r="S571" s="16"/>
      <c r="T571" s="16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7"/>
      <c r="AJ571" s="12"/>
      <c r="AK571" s="12"/>
      <c r="AL571" s="13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4"/>
      <c r="BK571" s="14"/>
      <c r="BL571" s="1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5"/>
      <c r="S572" s="16"/>
      <c r="T572" s="16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7"/>
      <c r="AJ572" s="12"/>
      <c r="AK572" s="12"/>
      <c r="AL572" s="13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4"/>
      <c r="BK572" s="14"/>
      <c r="BL572" s="1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5"/>
      <c r="S573" s="16"/>
      <c r="T573" s="16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7"/>
      <c r="AJ573" s="12"/>
      <c r="AK573" s="12"/>
      <c r="AL573" s="13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4"/>
      <c r="BK573" s="14"/>
      <c r="BL573" s="1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5"/>
      <c r="S574" s="16"/>
      <c r="T574" s="16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7"/>
      <c r="AJ574" s="12"/>
      <c r="AK574" s="12"/>
      <c r="AL574" s="13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4"/>
      <c r="BK574" s="14"/>
      <c r="BL574" s="1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5"/>
      <c r="S575" s="16"/>
      <c r="T575" s="16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7"/>
      <c r="AJ575" s="12"/>
      <c r="AK575" s="12"/>
      <c r="AL575" s="13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4"/>
      <c r="BK575" s="14"/>
      <c r="BL575" s="1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5"/>
      <c r="S576" s="16"/>
      <c r="T576" s="16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7"/>
      <c r="AJ576" s="12"/>
      <c r="AK576" s="12"/>
      <c r="AL576" s="13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4"/>
      <c r="BK576" s="14"/>
      <c r="BL576" s="1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5"/>
      <c r="S577" s="16"/>
      <c r="T577" s="16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7"/>
      <c r="AJ577" s="12"/>
      <c r="AK577" s="12"/>
      <c r="AL577" s="13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4"/>
      <c r="BK577" s="14"/>
      <c r="BL577" s="1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5"/>
      <c r="S578" s="16"/>
      <c r="T578" s="16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7"/>
      <c r="AJ578" s="12"/>
      <c r="AK578" s="12"/>
      <c r="AL578" s="13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4"/>
      <c r="BK578" s="14"/>
      <c r="BL578" s="1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5"/>
      <c r="S579" s="16"/>
      <c r="T579" s="16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7"/>
      <c r="AJ579" s="12"/>
      <c r="AK579" s="12"/>
      <c r="AL579" s="13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4"/>
      <c r="BK579" s="14"/>
      <c r="BL579" s="1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5"/>
      <c r="S580" s="16"/>
      <c r="T580" s="16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7"/>
      <c r="AJ580" s="12"/>
      <c r="AK580" s="12"/>
      <c r="AL580" s="13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4"/>
      <c r="BK580" s="14"/>
      <c r="BL580" s="1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5"/>
      <c r="S581" s="16"/>
      <c r="T581" s="16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7"/>
      <c r="AJ581" s="12"/>
      <c r="AK581" s="12"/>
      <c r="AL581" s="13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4"/>
      <c r="BK581" s="14"/>
      <c r="BL581" s="1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5"/>
      <c r="S582" s="16"/>
      <c r="T582" s="16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7"/>
      <c r="AJ582" s="12"/>
      <c r="AK582" s="12"/>
      <c r="AL582" s="13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4"/>
      <c r="BK582" s="14"/>
      <c r="BL582" s="1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5"/>
      <c r="S583" s="16"/>
      <c r="T583" s="16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7"/>
      <c r="AJ583" s="12"/>
      <c r="AK583" s="12"/>
      <c r="AL583" s="13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4"/>
      <c r="BK583" s="14"/>
      <c r="BL583" s="1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5"/>
      <c r="S584" s="16"/>
      <c r="T584" s="16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7"/>
      <c r="AJ584" s="12"/>
      <c r="AK584" s="12"/>
      <c r="AL584" s="13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4"/>
      <c r="BK584" s="14"/>
      <c r="BL584" s="1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5"/>
      <c r="S585" s="16"/>
      <c r="T585" s="16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7"/>
      <c r="AJ585" s="12"/>
      <c r="AK585" s="12"/>
      <c r="AL585" s="13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4"/>
      <c r="BK585" s="14"/>
      <c r="BL585" s="1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5"/>
      <c r="S586" s="16"/>
      <c r="T586" s="16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7"/>
      <c r="AJ586" s="12"/>
      <c r="AK586" s="12"/>
      <c r="AL586" s="13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4"/>
      <c r="BK586" s="14"/>
      <c r="BL586" s="1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5"/>
      <c r="S587" s="16"/>
      <c r="T587" s="16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7"/>
      <c r="AJ587" s="12"/>
      <c r="AK587" s="12"/>
      <c r="AL587" s="13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4"/>
      <c r="BK587" s="14"/>
      <c r="BL587" s="1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5"/>
      <c r="S588" s="16"/>
      <c r="T588" s="16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7"/>
      <c r="AJ588" s="12"/>
      <c r="AK588" s="12"/>
      <c r="AL588" s="13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4"/>
      <c r="BK588" s="14"/>
      <c r="BL588" s="1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5"/>
      <c r="S589" s="16"/>
      <c r="T589" s="16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7"/>
      <c r="AJ589" s="12"/>
      <c r="AK589" s="12"/>
      <c r="AL589" s="13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4"/>
      <c r="BK589" s="14"/>
      <c r="BL589" s="1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5"/>
      <c r="S590" s="16"/>
      <c r="T590" s="16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7"/>
      <c r="AJ590" s="12"/>
      <c r="AK590" s="12"/>
      <c r="AL590" s="13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4"/>
      <c r="BK590" s="14"/>
      <c r="BL590" s="1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5"/>
      <c r="S591" s="16"/>
      <c r="T591" s="16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7"/>
      <c r="AJ591" s="12"/>
      <c r="AK591" s="12"/>
      <c r="AL591" s="13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4"/>
      <c r="BK591" s="14"/>
      <c r="BL591" s="1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5"/>
      <c r="S592" s="16"/>
      <c r="T592" s="16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7"/>
      <c r="AJ592" s="12"/>
      <c r="AK592" s="12"/>
      <c r="AL592" s="13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4"/>
      <c r="BK592" s="14"/>
      <c r="BL592" s="1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5"/>
      <c r="S593" s="16"/>
      <c r="T593" s="16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7"/>
      <c r="AJ593" s="12"/>
      <c r="AK593" s="12"/>
      <c r="AL593" s="13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4"/>
      <c r="BK593" s="14"/>
      <c r="BL593" s="1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5"/>
      <c r="S594" s="16"/>
      <c r="T594" s="16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7"/>
      <c r="AJ594" s="12"/>
      <c r="AK594" s="12"/>
      <c r="AL594" s="13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4"/>
      <c r="BK594" s="14"/>
      <c r="BL594" s="1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5"/>
      <c r="S595" s="16"/>
      <c r="T595" s="16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7"/>
      <c r="AJ595" s="12"/>
      <c r="AK595" s="12"/>
      <c r="AL595" s="13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4"/>
      <c r="BK595" s="14"/>
      <c r="BL595" s="1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5"/>
      <c r="S596" s="16"/>
      <c r="T596" s="16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7"/>
      <c r="AJ596" s="12"/>
      <c r="AK596" s="12"/>
      <c r="AL596" s="13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4"/>
      <c r="BK596" s="14"/>
      <c r="BL596" s="1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5"/>
      <c r="S597" s="16"/>
      <c r="T597" s="16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7"/>
      <c r="AJ597" s="12"/>
      <c r="AK597" s="12"/>
      <c r="AL597" s="13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4"/>
      <c r="BK597" s="14"/>
      <c r="BL597" s="1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5"/>
      <c r="S598" s="16"/>
      <c r="T598" s="16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7"/>
      <c r="AJ598" s="12"/>
      <c r="AK598" s="12"/>
      <c r="AL598" s="13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4"/>
      <c r="BK598" s="14"/>
      <c r="BL598" s="1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5"/>
      <c r="S599" s="16"/>
      <c r="T599" s="16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7"/>
      <c r="AJ599" s="12"/>
      <c r="AK599" s="12"/>
      <c r="AL599" s="13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4"/>
      <c r="BK599" s="14"/>
      <c r="BL599" s="1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5"/>
      <c r="S600" s="16"/>
      <c r="T600" s="16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7"/>
      <c r="AJ600" s="12"/>
      <c r="AK600" s="12"/>
      <c r="AL600" s="13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4"/>
      <c r="BK600" s="14"/>
      <c r="BL600" s="1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5"/>
      <c r="S601" s="16"/>
      <c r="T601" s="16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7"/>
      <c r="AJ601" s="12"/>
      <c r="AK601" s="12"/>
      <c r="AL601" s="13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4"/>
      <c r="BK601" s="14"/>
      <c r="BL601" s="1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5"/>
      <c r="S602" s="16"/>
      <c r="T602" s="16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7"/>
      <c r="AJ602" s="12"/>
      <c r="AK602" s="12"/>
      <c r="AL602" s="13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4"/>
      <c r="BK602" s="14"/>
      <c r="BL602" s="1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5"/>
      <c r="S603" s="16"/>
      <c r="T603" s="16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7"/>
      <c r="AJ603" s="12"/>
      <c r="AK603" s="12"/>
      <c r="AL603" s="13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4"/>
      <c r="BK603" s="14"/>
      <c r="BL603" s="1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5"/>
      <c r="S604" s="16"/>
      <c r="T604" s="16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7"/>
      <c r="AJ604" s="12"/>
      <c r="AK604" s="12"/>
      <c r="AL604" s="13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4"/>
      <c r="BK604" s="14"/>
      <c r="BL604" s="1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5"/>
      <c r="S605" s="16"/>
      <c r="T605" s="16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7"/>
      <c r="AJ605" s="12"/>
      <c r="AK605" s="12"/>
      <c r="AL605" s="13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4"/>
      <c r="BK605" s="14"/>
      <c r="BL605" s="1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5"/>
      <c r="S606" s="16"/>
      <c r="T606" s="16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7"/>
      <c r="AJ606" s="12"/>
      <c r="AK606" s="12"/>
      <c r="AL606" s="13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4"/>
      <c r="BK606" s="14"/>
      <c r="BL606" s="1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5"/>
      <c r="S607" s="16"/>
      <c r="T607" s="16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7"/>
      <c r="AJ607" s="12"/>
      <c r="AK607" s="12"/>
      <c r="AL607" s="13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4"/>
      <c r="BK607" s="14"/>
      <c r="BL607" s="1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5"/>
      <c r="S608" s="16"/>
      <c r="T608" s="16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7"/>
      <c r="AJ608" s="12"/>
      <c r="AK608" s="12"/>
      <c r="AL608" s="13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4"/>
      <c r="BK608" s="14"/>
      <c r="BL608" s="1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5"/>
      <c r="S609" s="16"/>
      <c r="T609" s="16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7"/>
      <c r="AJ609" s="12"/>
      <c r="AK609" s="12"/>
      <c r="AL609" s="13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4"/>
      <c r="BK609" s="14"/>
      <c r="BL609" s="1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5"/>
      <c r="S610" s="16"/>
      <c r="T610" s="16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7"/>
      <c r="AJ610" s="12"/>
      <c r="AK610" s="12"/>
      <c r="AL610" s="13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4"/>
      <c r="BK610" s="14"/>
      <c r="BL610" s="1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5"/>
      <c r="S611" s="16"/>
      <c r="T611" s="16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7"/>
      <c r="AJ611" s="12"/>
      <c r="AK611" s="12"/>
      <c r="AL611" s="13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4"/>
      <c r="BK611" s="14"/>
      <c r="BL611" s="1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5"/>
      <c r="S612" s="16"/>
      <c r="T612" s="16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7"/>
      <c r="AJ612" s="12"/>
      <c r="AK612" s="12"/>
      <c r="AL612" s="13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4"/>
      <c r="BK612" s="14"/>
      <c r="BL612" s="1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5"/>
      <c r="S613" s="16"/>
      <c r="T613" s="16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7"/>
      <c r="AJ613" s="12"/>
      <c r="AK613" s="12"/>
      <c r="AL613" s="13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4"/>
      <c r="BK613" s="14"/>
      <c r="BL613" s="1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5"/>
      <c r="S614" s="16"/>
      <c r="T614" s="16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7"/>
      <c r="AJ614" s="12"/>
      <c r="AK614" s="12"/>
      <c r="AL614" s="13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4"/>
      <c r="BK614" s="14"/>
      <c r="BL614" s="1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5"/>
      <c r="S615" s="16"/>
      <c r="T615" s="16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7"/>
      <c r="AJ615" s="12"/>
      <c r="AK615" s="12"/>
      <c r="AL615" s="13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4"/>
      <c r="BK615" s="14"/>
      <c r="BL615" s="1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5"/>
      <c r="S616" s="16"/>
      <c r="T616" s="16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7"/>
      <c r="AJ616" s="12"/>
      <c r="AK616" s="12"/>
      <c r="AL616" s="13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4"/>
      <c r="BK616" s="14"/>
      <c r="BL616" s="1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5"/>
      <c r="S617" s="16"/>
      <c r="T617" s="16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7"/>
      <c r="AJ617" s="12"/>
      <c r="AK617" s="12"/>
      <c r="AL617" s="13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4"/>
      <c r="BK617" s="14"/>
      <c r="BL617" s="1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5"/>
      <c r="S618" s="16"/>
      <c r="T618" s="16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7"/>
      <c r="AJ618" s="12"/>
      <c r="AK618" s="12"/>
      <c r="AL618" s="13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4"/>
      <c r="BK618" s="14"/>
      <c r="BL618" s="1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5"/>
      <c r="S619" s="16"/>
      <c r="T619" s="16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7"/>
      <c r="AJ619" s="12"/>
      <c r="AK619" s="12"/>
      <c r="AL619" s="13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4"/>
      <c r="BK619" s="14"/>
      <c r="BL619" s="1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5"/>
      <c r="S620" s="16"/>
      <c r="T620" s="16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7"/>
      <c r="AJ620" s="12"/>
      <c r="AK620" s="12"/>
      <c r="AL620" s="13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4"/>
      <c r="BK620" s="14"/>
      <c r="BL620" s="1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5"/>
      <c r="S621" s="16"/>
      <c r="T621" s="16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7"/>
      <c r="AJ621" s="12"/>
      <c r="AK621" s="12"/>
      <c r="AL621" s="13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4"/>
      <c r="BK621" s="14"/>
      <c r="BL621" s="1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5"/>
      <c r="S622" s="16"/>
      <c r="T622" s="16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7"/>
      <c r="AJ622" s="12"/>
      <c r="AK622" s="12"/>
      <c r="AL622" s="13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4"/>
      <c r="BK622" s="14"/>
      <c r="BL622" s="1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5"/>
      <c r="S623" s="16"/>
      <c r="T623" s="16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7"/>
      <c r="AJ623" s="12"/>
      <c r="AK623" s="12"/>
      <c r="AL623" s="13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4"/>
      <c r="BK623" s="14"/>
      <c r="BL623" s="1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5"/>
      <c r="S624" s="16"/>
      <c r="T624" s="16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7"/>
      <c r="AJ624" s="12"/>
      <c r="AK624" s="12"/>
      <c r="AL624" s="13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4"/>
      <c r="BK624" s="14"/>
      <c r="BL624" s="1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5"/>
      <c r="S625" s="16"/>
      <c r="T625" s="16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7"/>
      <c r="AJ625" s="12"/>
      <c r="AK625" s="12"/>
      <c r="AL625" s="13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4"/>
      <c r="BK625" s="14"/>
      <c r="BL625" s="1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5"/>
      <c r="S626" s="16"/>
      <c r="T626" s="16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7"/>
      <c r="AJ626" s="12"/>
      <c r="AK626" s="12"/>
      <c r="AL626" s="13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4"/>
      <c r="BK626" s="14"/>
      <c r="BL626" s="1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5"/>
      <c r="S627" s="16"/>
      <c r="T627" s="16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7"/>
      <c r="AJ627" s="12"/>
      <c r="AK627" s="12"/>
      <c r="AL627" s="13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4"/>
      <c r="BK627" s="14"/>
      <c r="BL627" s="1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5"/>
      <c r="S628" s="16"/>
      <c r="T628" s="16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7"/>
      <c r="AJ628" s="12"/>
      <c r="AK628" s="12"/>
      <c r="AL628" s="13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4"/>
      <c r="BK628" s="14"/>
      <c r="BL628" s="1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5"/>
      <c r="S629" s="16"/>
      <c r="T629" s="16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7"/>
      <c r="AJ629" s="12"/>
      <c r="AK629" s="12"/>
      <c r="AL629" s="13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4"/>
      <c r="BK629" s="14"/>
      <c r="BL629" s="1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5"/>
      <c r="S630" s="16"/>
      <c r="T630" s="16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7"/>
      <c r="AJ630" s="12"/>
      <c r="AK630" s="12"/>
      <c r="AL630" s="13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4"/>
      <c r="BK630" s="14"/>
      <c r="BL630" s="1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5"/>
      <c r="S631" s="16"/>
      <c r="T631" s="16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7"/>
      <c r="AJ631" s="12"/>
      <c r="AK631" s="12"/>
      <c r="AL631" s="13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4"/>
      <c r="BK631" s="14"/>
      <c r="BL631" s="1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5"/>
      <c r="S632" s="16"/>
      <c r="T632" s="16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7"/>
      <c r="AJ632" s="12"/>
      <c r="AK632" s="12"/>
      <c r="AL632" s="13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4"/>
      <c r="BK632" s="14"/>
      <c r="BL632" s="1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5"/>
      <c r="S633" s="16"/>
      <c r="T633" s="16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7"/>
      <c r="AJ633" s="12"/>
      <c r="AK633" s="12"/>
      <c r="AL633" s="13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4"/>
      <c r="BK633" s="14"/>
      <c r="BL633" s="1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5"/>
      <c r="S634" s="16"/>
      <c r="T634" s="16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7"/>
      <c r="AJ634" s="12"/>
      <c r="AK634" s="12"/>
      <c r="AL634" s="13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4"/>
      <c r="BK634" s="14"/>
      <c r="BL634" s="1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5"/>
      <c r="S635" s="16"/>
      <c r="T635" s="16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7"/>
      <c r="AJ635" s="12"/>
      <c r="AK635" s="12"/>
      <c r="AL635" s="13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4"/>
      <c r="BK635" s="14"/>
      <c r="BL635" s="1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5"/>
      <c r="S636" s="16"/>
      <c r="T636" s="16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7"/>
      <c r="AJ636" s="12"/>
      <c r="AK636" s="12"/>
      <c r="AL636" s="13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4"/>
      <c r="BK636" s="14"/>
      <c r="BL636" s="1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5"/>
      <c r="S637" s="16"/>
      <c r="T637" s="16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7"/>
      <c r="AJ637" s="12"/>
      <c r="AK637" s="12"/>
      <c r="AL637" s="13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4"/>
      <c r="BK637" s="14"/>
      <c r="BL637" s="1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5"/>
      <c r="S638" s="16"/>
      <c r="T638" s="16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7"/>
      <c r="AJ638" s="12"/>
      <c r="AK638" s="12"/>
      <c r="AL638" s="13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4"/>
      <c r="BK638" s="14"/>
      <c r="BL638" s="1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5"/>
      <c r="S639" s="16"/>
      <c r="T639" s="16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7"/>
      <c r="AJ639" s="12"/>
      <c r="AK639" s="12"/>
      <c r="AL639" s="13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4"/>
      <c r="BK639" s="14"/>
      <c r="BL639" s="1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5"/>
      <c r="S640" s="16"/>
      <c r="T640" s="16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7"/>
      <c r="AJ640" s="12"/>
      <c r="AK640" s="12"/>
      <c r="AL640" s="13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4"/>
      <c r="BK640" s="14"/>
      <c r="BL640" s="1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5"/>
      <c r="S641" s="16"/>
      <c r="T641" s="16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7"/>
      <c r="AJ641" s="12"/>
      <c r="AK641" s="12"/>
      <c r="AL641" s="13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4"/>
      <c r="BK641" s="14"/>
      <c r="BL641" s="1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5"/>
      <c r="S642" s="16"/>
      <c r="T642" s="16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7"/>
      <c r="AJ642" s="12"/>
      <c r="AK642" s="12"/>
      <c r="AL642" s="13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4"/>
      <c r="BK642" s="14"/>
      <c r="BL642" s="1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5"/>
      <c r="S643" s="16"/>
      <c r="T643" s="16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7"/>
      <c r="AJ643" s="12"/>
      <c r="AK643" s="12"/>
      <c r="AL643" s="13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4"/>
      <c r="BK643" s="14"/>
      <c r="BL643" s="1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5"/>
      <c r="S644" s="16"/>
      <c r="T644" s="16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7"/>
      <c r="AJ644" s="12"/>
      <c r="AK644" s="12"/>
      <c r="AL644" s="13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4"/>
      <c r="BK644" s="14"/>
      <c r="BL644" s="1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5"/>
      <c r="S645" s="16"/>
      <c r="T645" s="16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7"/>
      <c r="AJ645" s="12"/>
      <c r="AK645" s="12"/>
      <c r="AL645" s="13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4"/>
      <c r="BK645" s="14"/>
      <c r="BL645" s="1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5"/>
      <c r="S646" s="16"/>
      <c r="T646" s="16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7"/>
      <c r="AJ646" s="12"/>
      <c r="AK646" s="12"/>
      <c r="AL646" s="13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4"/>
      <c r="BK646" s="14"/>
      <c r="BL646" s="1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5"/>
      <c r="S647" s="16"/>
      <c r="T647" s="16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7"/>
      <c r="AJ647" s="12"/>
      <c r="AK647" s="12"/>
      <c r="AL647" s="13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4"/>
      <c r="BK647" s="14"/>
      <c r="BL647" s="1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5"/>
      <c r="S648" s="16"/>
      <c r="T648" s="16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7"/>
      <c r="AJ648" s="12"/>
      <c r="AK648" s="12"/>
      <c r="AL648" s="13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4"/>
      <c r="BK648" s="14"/>
      <c r="BL648" s="1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5"/>
      <c r="S649" s="16"/>
      <c r="T649" s="16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7"/>
      <c r="AJ649" s="12"/>
      <c r="AK649" s="12"/>
      <c r="AL649" s="13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4"/>
      <c r="BK649" s="14"/>
      <c r="BL649" s="1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5"/>
      <c r="S650" s="16"/>
      <c r="T650" s="16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7"/>
      <c r="AJ650" s="12"/>
      <c r="AK650" s="12"/>
      <c r="AL650" s="13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4"/>
      <c r="BK650" s="14"/>
      <c r="BL650" s="1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5"/>
      <c r="S651" s="16"/>
      <c r="T651" s="16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7"/>
      <c r="AJ651" s="12"/>
      <c r="AK651" s="12"/>
      <c r="AL651" s="13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4"/>
      <c r="BK651" s="14"/>
      <c r="BL651" s="1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5"/>
      <c r="S652" s="16"/>
      <c r="T652" s="16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7"/>
      <c r="AJ652" s="12"/>
      <c r="AK652" s="12"/>
      <c r="AL652" s="13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4"/>
      <c r="BK652" s="14"/>
      <c r="BL652" s="1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5"/>
      <c r="S653" s="16"/>
      <c r="T653" s="16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7"/>
      <c r="AJ653" s="12"/>
      <c r="AK653" s="12"/>
      <c r="AL653" s="13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4"/>
      <c r="BK653" s="14"/>
      <c r="BL653" s="1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5"/>
      <c r="S654" s="16"/>
      <c r="T654" s="16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7"/>
      <c r="AJ654" s="12"/>
      <c r="AK654" s="12"/>
      <c r="AL654" s="13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4"/>
      <c r="BK654" s="14"/>
      <c r="BL654" s="1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5"/>
      <c r="S655" s="16"/>
      <c r="T655" s="16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7"/>
      <c r="AJ655" s="12"/>
      <c r="AK655" s="12"/>
      <c r="AL655" s="13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4"/>
      <c r="BK655" s="14"/>
      <c r="BL655" s="1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5"/>
      <c r="S656" s="16"/>
      <c r="T656" s="16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7"/>
      <c r="AJ656" s="12"/>
      <c r="AK656" s="12"/>
      <c r="AL656" s="13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4"/>
      <c r="BK656" s="14"/>
      <c r="BL656" s="1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5"/>
      <c r="S657" s="16"/>
      <c r="T657" s="16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7"/>
      <c r="AJ657" s="12"/>
      <c r="AK657" s="12"/>
      <c r="AL657" s="13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4"/>
      <c r="BK657" s="14"/>
      <c r="BL657" s="1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5"/>
      <c r="S658" s="16"/>
      <c r="T658" s="16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7"/>
      <c r="AJ658" s="12"/>
      <c r="AK658" s="12"/>
      <c r="AL658" s="13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4"/>
      <c r="BK658" s="14"/>
      <c r="BL658" s="1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5"/>
      <c r="S659" s="16"/>
      <c r="T659" s="16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7"/>
      <c r="AJ659" s="12"/>
      <c r="AK659" s="12"/>
      <c r="AL659" s="13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4"/>
      <c r="BK659" s="14"/>
      <c r="BL659" s="1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5"/>
      <c r="S660" s="16"/>
      <c r="T660" s="16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7"/>
      <c r="AJ660" s="12"/>
      <c r="AK660" s="12"/>
      <c r="AL660" s="13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4"/>
      <c r="BK660" s="14"/>
      <c r="BL660" s="1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5"/>
      <c r="S661" s="16"/>
      <c r="T661" s="16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7"/>
      <c r="AJ661" s="12"/>
      <c r="AK661" s="12"/>
      <c r="AL661" s="13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4"/>
      <c r="BK661" s="14"/>
      <c r="BL661" s="1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5"/>
      <c r="S662" s="16"/>
      <c r="T662" s="16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7"/>
      <c r="AJ662" s="12"/>
      <c r="AK662" s="12"/>
      <c r="AL662" s="13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4"/>
      <c r="BK662" s="14"/>
      <c r="BL662" s="1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5"/>
      <c r="S663" s="16"/>
      <c r="T663" s="16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7"/>
      <c r="AJ663" s="12"/>
      <c r="AK663" s="12"/>
      <c r="AL663" s="13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4"/>
      <c r="BK663" s="14"/>
      <c r="BL663" s="1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5"/>
      <c r="S664" s="16"/>
      <c r="T664" s="16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7"/>
      <c r="AJ664" s="12"/>
      <c r="AK664" s="12"/>
      <c r="AL664" s="13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4"/>
      <c r="BK664" s="14"/>
      <c r="BL664" s="1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5"/>
      <c r="S665" s="16"/>
      <c r="T665" s="16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7"/>
      <c r="AJ665" s="12"/>
      <c r="AK665" s="12"/>
      <c r="AL665" s="13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4"/>
      <c r="BK665" s="14"/>
      <c r="BL665" s="1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5"/>
      <c r="S666" s="16"/>
      <c r="T666" s="16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7"/>
      <c r="AJ666" s="12"/>
      <c r="AK666" s="12"/>
      <c r="AL666" s="13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4"/>
      <c r="BK666" s="14"/>
      <c r="BL666" s="1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5"/>
      <c r="S667" s="16"/>
      <c r="T667" s="16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7"/>
      <c r="AJ667" s="12"/>
      <c r="AK667" s="12"/>
      <c r="AL667" s="13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4"/>
      <c r="BK667" s="14"/>
      <c r="BL667" s="1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5"/>
      <c r="S668" s="16"/>
      <c r="T668" s="16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7"/>
      <c r="AJ668" s="12"/>
      <c r="AK668" s="12"/>
      <c r="AL668" s="13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4"/>
      <c r="BK668" s="14"/>
      <c r="BL668" s="1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5"/>
      <c r="S669" s="16"/>
      <c r="T669" s="16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7"/>
      <c r="AJ669" s="12"/>
      <c r="AK669" s="12"/>
      <c r="AL669" s="13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4"/>
      <c r="BK669" s="14"/>
      <c r="BL669" s="1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5"/>
      <c r="S670" s="16"/>
      <c r="T670" s="16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7"/>
      <c r="AJ670" s="12"/>
      <c r="AK670" s="12"/>
      <c r="AL670" s="13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4"/>
      <c r="BK670" s="14"/>
      <c r="BL670" s="1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5"/>
      <c r="S671" s="16"/>
      <c r="T671" s="16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7"/>
      <c r="AJ671" s="12"/>
      <c r="AK671" s="12"/>
      <c r="AL671" s="13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4"/>
      <c r="BK671" s="14"/>
      <c r="BL671" s="1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5"/>
      <c r="S672" s="16"/>
      <c r="T672" s="16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7"/>
      <c r="AJ672" s="12"/>
      <c r="AK672" s="12"/>
      <c r="AL672" s="13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4"/>
      <c r="BK672" s="14"/>
      <c r="BL672" s="1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5"/>
      <c r="S673" s="16"/>
      <c r="T673" s="16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7"/>
      <c r="AJ673" s="12"/>
      <c r="AK673" s="12"/>
      <c r="AL673" s="13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4"/>
      <c r="BK673" s="14"/>
      <c r="BL673" s="1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5"/>
      <c r="S674" s="16"/>
      <c r="T674" s="16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7"/>
      <c r="AJ674" s="12"/>
      <c r="AK674" s="12"/>
      <c r="AL674" s="13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4"/>
      <c r="BK674" s="14"/>
      <c r="BL674" s="1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5"/>
      <c r="S675" s="16"/>
      <c r="T675" s="16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7"/>
      <c r="AJ675" s="12"/>
      <c r="AK675" s="12"/>
      <c r="AL675" s="13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4"/>
      <c r="BK675" s="14"/>
      <c r="BL675" s="1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5"/>
      <c r="S676" s="16"/>
      <c r="T676" s="16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7"/>
      <c r="AJ676" s="12"/>
      <c r="AK676" s="12"/>
      <c r="AL676" s="13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4"/>
      <c r="BK676" s="14"/>
      <c r="BL676" s="1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5"/>
      <c r="S677" s="16"/>
      <c r="T677" s="16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7"/>
      <c r="AJ677" s="12"/>
      <c r="AK677" s="12"/>
      <c r="AL677" s="13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4"/>
      <c r="BK677" s="14"/>
      <c r="BL677" s="1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5"/>
      <c r="S678" s="16"/>
      <c r="T678" s="16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7"/>
      <c r="AJ678" s="12"/>
      <c r="AK678" s="12"/>
      <c r="AL678" s="13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4"/>
      <c r="BK678" s="14"/>
      <c r="BL678" s="1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5"/>
      <c r="S679" s="16"/>
      <c r="T679" s="16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7"/>
      <c r="AJ679" s="12"/>
      <c r="AK679" s="12"/>
      <c r="AL679" s="13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4"/>
      <c r="BK679" s="14"/>
      <c r="BL679" s="1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5"/>
      <c r="S680" s="16"/>
      <c r="T680" s="16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7"/>
      <c r="AJ680" s="12"/>
      <c r="AK680" s="12"/>
      <c r="AL680" s="13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4"/>
      <c r="BK680" s="14"/>
      <c r="BL680" s="1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5"/>
      <c r="S681" s="16"/>
      <c r="T681" s="16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7"/>
      <c r="AJ681" s="12"/>
      <c r="AK681" s="12"/>
      <c r="AL681" s="13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4"/>
      <c r="BK681" s="14"/>
      <c r="BL681" s="1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5"/>
      <c r="S682" s="16"/>
      <c r="T682" s="16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7"/>
      <c r="AJ682" s="12"/>
      <c r="AK682" s="12"/>
      <c r="AL682" s="13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4"/>
      <c r="BK682" s="14"/>
      <c r="BL682" s="1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5"/>
      <c r="S683" s="16"/>
      <c r="T683" s="16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7"/>
      <c r="AJ683" s="12"/>
      <c r="AK683" s="12"/>
      <c r="AL683" s="13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4"/>
      <c r="BK683" s="14"/>
      <c r="BL683" s="1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5"/>
      <c r="S684" s="16"/>
      <c r="T684" s="16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7"/>
      <c r="AJ684" s="12"/>
      <c r="AK684" s="12"/>
      <c r="AL684" s="13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4"/>
      <c r="BK684" s="14"/>
      <c r="BL684" s="1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5"/>
      <c r="S685" s="16"/>
      <c r="T685" s="16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7"/>
      <c r="AJ685" s="12"/>
      <c r="AK685" s="12"/>
      <c r="AL685" s="13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4"/>
      <c r="BK685" s="14"/>
      <c r="BL685" s="1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5"/>
      <c r="S686" s="16"/>
      <c r="T686" s="16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7"/>
      <c r="AJ686" s="12"/>
      <c r="AK686" s="12"/>
      <c r="AL686" s="13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4"/>
      <c r="BK686" s="14"/>
      <c r="BL686" s="1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5"/>
      <c r="S687" s="16"/>
      <c r="T687" s="16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7"/>
      <c r="AJ687" s="12"/>
      <c r="AK687" s="12"/>
      <c r="AL687" s="13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4"/>
      <c r="BK687" s="14"/>
      <c r="BL687" s="1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5"/>
      <c r="S688" s="16"/>
      <c r="T688" s="16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7"/>
      <c r="AJ688" s="12"/>
      <c r="AK688" s="12"/>
      <c r="AL688" s="13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4"/>
      <c r="BK688" s="14"/>
      <c r="BL688" s="1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5"/>
      <c r="S689" s="16"/>
      <c r="T689" s="16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7"/>
      <c r="AJ689" s="12"/>
      <c r="AK689" s="12"/>
      <c r="AL689" s="13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4"/>
      <c r="BK689" s="14"/>
      <c r="BL689" s="1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5"/>
      <c r="S690" s="16"/>
      <c r="T690" s="16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7"/>
      <c r="AJ690" s="12"/>
      <c r="AK690" s="12"/>
      <c r="AL690" s="13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4"/>
      <c r="BK690" s="14"/>
      <c r="BL690" s="1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5"/>
      <c r="S691" s="16"/>
      <c r="T691" s="16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7"/>
      <c r="AJ691" s="12"/>
      <c r="AK691" s="12"/>
      <c r="AL691" s="13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4"/>
      <c r="BK691" s="14"/>
      <c r="BL691" s="1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5"/>
      <c r="S692" s="16"/>
      <c r="T692" s="16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7"/>
      <c r="AJ692" s="12"/>
      <c r="AK692" s="12"/>
      <c r="AL692" s="13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4"/>
      <c r="BK692" s="14"/>
      <c r="BL692" s="1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5"/>
      <c r="S693" s="16"/>
      <c r="T693" s="16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7"/>
      <c r="AJ693" s="12"/>
      <c r="AK693" s="12"/>
      <c r="AL693" s="13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4"/>
      <c r="BK693" s="14"/>
      <c r="BL693" s="1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5"/>
      <c r="S694" s="16"/>
      <c r="T694" s="16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7"/>
      <c r="AJ694" s="12"/>
      <c r="AK694" s="12"/>
      <c r="AL694" s="13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4"/>
      <c r="BK694" s="14"/>
      <c r="BL694" s="1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5"/>
      <c r="S695" s="16"/>
      <c r="T695" s="16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7"/>
      <c r="AJ695" s="12"/>
      <c r="AK695" s="12"/>
      <c r="AL695" s="13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4"/>
      <c r="BK695" s="14"/>
      <c r="BL695" s="1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5"/>
      <c r="S696" s="16"/>
      <c r="T696" s="16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7"/>
      <c r="AJ696" s="12"/>
      <c r="AK696" s="12"/>
      <c r="AL696" s="13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4"/>
      <c r="BK696" s="14"/>
      <c r="BL696" s="1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5"/>
      <c r="S697" s="16"/>
      <c r="T697" s="16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7"/>
      <c r="AJ697" s="12"/>
      <c r="AK697" s="12"/>
      <c r="AL697" s="13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4"/>
      <c r="BK697" s="14"/>
      <c r="BL697" s="1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5"/>
      <c r="S698" s="16"/>
      <c r="T698" s="16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7"/>
      <c r="AJ698" s="12"/>
      <c r="AK698" s="12"/>
      <c r="AL698" s="13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4"/>
      <c r="BK698" s="14"/>
      <c r="BL698" s="1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5"/>
      <c r="S699" s="16"/>
      <c r="T699" s="16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7"/>
      <c r="AJ699" s="12"/>
      <c r="AK699" s="12"/>
      <c r="AL699" s="13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4"/>
      <c r="BK699" s="14"/>
      <c r="BL699" s="1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5"/>
      <c r="S700" s="16"/>
      <c r="T700" s="16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7"/>
      <c r="AJ700" s="12"/>
      <c r="AK700" s="12"/>
      <c r="AL700" s="13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4"/>
      <c r="BK700" s="14"/>
      <c r="BL700" s="1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5"/>
      <c r="S701" s="16"/>
      <c r="T701" s="16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7"/>
      <c r="AJ701" s="12"/>
      <c r="AK701" s="12"/>
      <c r="AL701" s="13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4"/>
      <c r="BK701" s="14"/>
      <c r="BL701" s="1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5"/>
      <c r="S702" s="16"/>
      <c r="T702" s="16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7"/>
      <c r="AJ702" s="12"/>
      <c r="AK702" s="12"/>
      <c r="AL702" s="13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4"/>
      <c r="BK702" s="14"/>
      <c r="BL702" s="1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5"/>
      <c r="S703" s="16"/>
      <c r="T703" s="16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7"/>
      <c r="AJ703" s="12"/>
      <c r="AK703" s="12"/>
      <c r="AL703" s="13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4"/>
      <c r="BK703" s="14"/>
      <c r="BL703" s="1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5"/>
      <c r="S704" s="16"/>
      <c r="T704" s="16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7"/>
      <c r="AJ704" s="12"/>
      <c r="AK704" s="12"/>
      <c r="AL704" s="13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4"/>
      <c r="BK704" s="14"/>
      <c r="BL704" s="1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5"/>
      <c r="S705" s="16"/>
      <c r="T705" s="16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7"/>
      <c r="AJ705" s="12"/>
      <c r="AK705" s="12"/>
      <c r="AL705" s="13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4"/>
      <c r="BK705" s="14"/>
      <c r="BL705" s="1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5"/>
      <c r="S706" s="16"/>
      <c r="T706" s="16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7"/>
      <c r="AJ706" s="12"/>
      <c r="AK706" s="12"/>
      <c r="AL706" s="13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4"/>
      <c r="BK706" s="14"/>
      <c r="BL706" s="1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5"/>
      <c r="S707" s="16"/>
      <c r="T707" s="16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7"/>
      <c r="AJ707" s="12"/>
      <c r="AK707" s="12"/>
      <c r="AL707" s="13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4"/>
      <c r="BK707" s="14"/>
      <c r="BL707" s="1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5"/>
      <c r="S708" s="16"/>
      <c r="T708" s="16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7"/>
      <c r="AJ708" s="12"/>
      <c r="AK708" s="12"/>
      <c r="AL708" s="13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4"/>
      <c r="BK708" s="14"/>
      <c r="BL708" s="1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5"/>
      <c r="S709" s="16"/>
      <c r="T709" s="16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7"/>
      <c r="AJ709" s="12"/>
      <c r="AK709" s="12"/>
      <c r="AL709" s="13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4"/>
      <c r="BK709" s="14"/>
      <c r="BL709" s="1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5"/>
      <c r="S710" s="16"/>
      <c r="T710" s="16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7"/>
      <c r="AJ710" s="12"/>
      <c r="AK710" s="12"/>
      <c r="AL710" s="13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4"/>
      <c r="BK710" s="14"/>
      <c r="BL710" s="1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5"/>
      <c r="S711" s="16"/>
      <c r="T711" s="16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7"/>
      <c r="AJ711" s="12"/>
      <c r="AK711" s="12"/>
      <c r="AL711" s="13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4"/>
      <c r="BK711" s="14"/>
      <c r="BL711" s="1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5"/>
      <c r="S712" s="16"/>
      <c r="T712" s="16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7"/>
      <c r="AJ712" s="12"/>
      <c r="AK712" s="12"/>
      <c r="AL712" s="13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4"/>
      <c r="BK712" s="14"/>
      <c r="BL712" s="1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5"/>
      <c r="S713" s="16"/>
      <c r="T713" s="16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7"/>
      <c r="AJ713" s="12"/>
      <c r="AK713" s="12"/>
      <c r="AL713" s="13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4"/>
      <c r="BK713" s="14"/>
      <c r="BL713" s="1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5"/>
      <c r="S714" s="16"/>
      <c r="T714" s="16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7"/>
      <c r="AJ714" s="12"/>
      <c r="AK714" s="12"/>
      <c r="AL714" s="13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4"/>
      <c r="BK714" s="14"/>
      <c r="BL714" s="1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5"/>
      <c r="S715" s="16"/>
      <c r="T715" s="16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7"/>
      <c r="AJ715" s="12"/>
      <c r="AK715" s="12"/>
      <c r="AL715" s="13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4"/>
      <c r="BK715" s="14"/>
      <c r="BL715" s="1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5"/>
      <c r="S716" s="16"/>
      <c r="T716" s="16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7"/>
      <c r="AJ716" s="12"/>
      <c r="AK716" s="12"/>
      <c r="AL716" s="13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4"/>
      <c r="BK716" s="14"/>
      <c r="BL716" s="1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5"/>
      <c r="S717" s="16"/>
      <c r="T717" s="16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7"/>
      <c r="AJ717" s="12"/>
      <c r="AK717" s="12"/>
      <c r="AL717" s="13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4"/>
      <c r="BK717" s="14"/>
      <c r="BL717" s="1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5"/>
      <c r="S718" s="16"/>
      <c r="T718" s="16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7"/>
      <c r="AJ718" s="12"/>
      <c r="AK718" s="12"/>
      <c r="AL718" s="13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4"/>
      <c r="BK718" s="14"/>
      <c r="BL718" s="1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5"/>
      <c r="S719" s="16"/>
      <c r="T719" s="16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7"/>
      <c r="AJ719" s="12"/>
      <c r="AK719" s="12"/>
      <c r="AL719" s="13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4"/>
      <c r="BK719" s="14"/>
      <c r="BL719" s="1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5"/>
      <c r="S720" s="16"/>
      <c r="T720" s="16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7"/>
      <c r="AJ720" s="12"/>
      <c r="AK720" s="12"/>
      <c r="AL720" s="13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4"/>
      <c r="BK720" s="14"/>
      <c r="BL720" s="1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5"/>
      <c r="S721" s="16"/>
      <c r="T721" s="16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7"/>
      <c r="AJ721" s="12"/>
      <c r="AK721" s="12"/>
      <c r="AL721" s="13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4"/>
      <c r="BK721" s="14"/>
      <c r="BL721" s="1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5"/>
      <c r="S722" s="16"/>
      <c r="T722" s="16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7"/>
      <c r="AJ722" s="12"/>
      <c r="AK722" s="12"/>
      <c r="AL722" s="13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4"/>
      <c r="BK722" s="14"/>
      <c r="BL722" s="1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5"/>
      <c r="S723" s="16"/>
      <c r="T723" s="16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7"/>
      <c r="AJ723" s="12"/>
      <c r="AK723" s="12"/>
      <c r="AL723" s="13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4"/>
      <c r="BK723" s="14"/>
      <c r="BL723" s="1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5"/>
      <c r="S724" s="16"/>
      <c r="T724" s="16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7"/>
      <c r="AJ724" s="12"/>
      <c r="AK724" s="12"/>
      <c r="AL724" s="13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4"/>
      <c r="BK724" s="14"/>
      <c r="BL724" s="1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5"/>
      <c r="S725" s="16"/>
      <c r="T725" s="16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7"/>
      <c r="AJ725" s="12"/>
      <c r="AK725" s="12"/>
      <c r="AL725" s="13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4"/>
      <c r="BK725" s="14"/>
      <c r="BL725" s="1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5"/>
      <c r="S726" s="16"/>
      <c r="T726" s="16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7"/>
      <c r="AJ726" s="12"/>
      <c r="AK726" s="12"/>
      <c r="AL726" s="13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4"/>
      <c r="BK726" s="14"/>
      <c r="BL726" s="1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5"/>
      <c r="S727" s="16"/>
      <c r="T727" s="16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7"/>
      <c r="AJ727" s="12"/>
      <c r="AK727" s="12"/>
      <c r="AL727" s="13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4"/>
      <c r="BK727" s="14"/>
      <c r="BL727" s="1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5"/>
      <c r="S728" s="16"/>
      <c r="T728" s="16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7"/>
      <c r="AJ728" s="12"/>
      <c r="AK728" s="12"/>
      <c r="AL728" s="13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4"/>
      <c r="BK728" s="14"/>
      <c r="BL728" s="1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5"/>
      <c r="S729" s="16"/>
      <c r="T729" s="16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7"/>
      <c r="AJ729" s="12"/>
      <c r="AK729" s="12"/>
      <c r="AL729" s="13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4"/>
      <c r="BK729" s="14"/>
      <c r="BL729" s="1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5"/>
      <c r="S730" s="16"/>
      <c r="T730" s="16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7"/>
      <c r="AJ730" s="12"/>
      <c r="AK730" s="12"/>
      <c r="AL730" s="13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4"/>
      <c r="BK730" s="14"/>
      <c r="BL730" s="1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5"/>
      <c r="S731" s="16"/>
      <c r="T731" s="16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7"/>
      <c r="AJ731" s="12"/>
      <c r="AK731" s="12"/>
      <c r="AL731" s="13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4"/>
      <c r="BK731" s="14"/>
      <c r="BL731" s="1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5"/>
      <c r="S732" s="16"/>
      <c r="T732" s="16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7"/>
      <c r="AJ732" s="12"/>
      <c r="AK732" s="12"/>
      <c r="AL732" s="13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4"/>
      <c r="BK732" s="14"/>
      <c r="BL732" s="1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5"/>
      <c r="S733" s="16"/>
      <c r="T733" s="16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7"/>
      <c r="AJ733" s="12"/>
      <c r="AK733" s="12"/>
      <c r="AL733" s="13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4"/>
      <c r="BK733" s="14"/>
      <c r="BL733" s="1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5"/>
      <c r="S734" s="16"/>
      <c r="T734" s="16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7"/>
      <c r="AJ734" s="12"/>
      <c r="AK734" s="12"/>
      <c r="AL734" s="13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4"/>
      <c r="BK734" s="14"/>
      <c r="BL734" s="1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5"/>
      <c r="S735" s="16"/>
      <c r="T735" s="16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7"/>
      <c r="AJ735" s="12"/>
      <c r="AK735" s="12"/>
      <c r="AL735" s="13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4"/>
      <c r="BK735" s="14"/>
      <c r="BL735" s="1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5"/>
      <c r="S736" s="16"/>
      <c r="T736" s="16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7"/>
      <c r="AJ736" s="12"/>
      <c r="AK736" s="12"/>
      <c r="AL736" s="13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4"/>
      <c r="BK736" s="14"/>
      <c r="BL736" s="1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5"/>
      <c r="S737" s="16"/>
      <c r="T737" s="16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7"/>
      <c r="AJ737" s="12"/>
      <c r="AK737" s="12"/>
      <c r="AL737" s="13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4"/>
      <c r="BK737" s="14"/>
      <c r="BL737" s="1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5"/>
      <c r="S738" s="16"/>
      <c r="T738" s="16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7"/>
      <c r="AJ738" s="12"/>
      <c r="AK738" s="12"/>
      <c r="AL738" s="13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4"/>
      <c r="BK738" s="14"/>
      <c r="BL738" s="1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5"/>
      <c r="S739" s="16"/>
      <c r="T739" s="16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7"/>
      <c r="AJ739" s="12"/>
      <c r="AK739" s="12"/>
      <c r="AL739" s="13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4"/>
      <c r="BK739" s="14"/>
      <c r="BL739" s="1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5"/>
      <c r="S740" s="16"/>
      <c r="T740" s="16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7"/>
      <c r="AJ740" s="12"/>
      <c r="AK740" s="12"/>
      <c r="AL740" s="13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4"/>
      <c r="BK740" s="14"/>
      <c r="BL740" s="1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5"/>
      <c r="S741" s="16"/>
      <c r="T741" s="16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7"/>
      <c r="AJ741" s="12"/>
      <c r="AK741" s="12"/>
      <c r="AL741" s="13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4"/>
      <c r="BK741" s="14"/>
      <c r="BL741" s="1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5"/>
      <c r="S742" s="16"/>
      <c r="T742" s="16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7"/>
      <c r="AJ742" s="12"/>
      <c r="AK742" s="12"/>
      <c r="AL742" s="13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4"/>
      <c r="BK742" s="14"/>
      <c r="BL742" s="1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5"/>
      <c r="S743" s="16"/>
      <c r="T743" s="16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7"/>
      <c r="AJ743" s="12"/>
      <c r="AK743" s="12"/>
      <c r="AL743" s="13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4"/>
      <c r="BK743" s="14"/>
      <c r="BL743" s="1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5"/>
      <c r="S744" s="16"/>
      <c r="T744" s="16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7"/>
      <c r="AJ744" s="12"/>
      <c r="AK744" s="12"/>
      <c r="AL744" s="13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4"/>
      <c r="BK744" s="14"/>
      <c r="BL744" s="1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5"/>
      <c r="S745" s="16"/>
      <c r="T745" s="16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7"/>
      <c r="AJ745" s="12"/>
      <c r="AK745" s="12"/>
      <c r="AL745" s="13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4"/>
      <c r="BK745" s="14"/>
      <c r="BL745" s="1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5"/>
      <c r="S746" s="16"/>
      <c r="T746" s="16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7"/>
      <c r="AJ746" s="12"/>
      <c r="AK746" s="12"/>
      <c r="AL746" s="13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4"/>
      <c r="BK746" s="14"/>
      <c r="BL746" s="1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5"/>
      <c r="S747" s="16"/>
      <c r="T747" s="16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7"/>
      <c r="AJ747" s="12"/>
      <c r="AK747" s="12"/>
      <c r="AL747" s="13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4"/>
      <c r="BK747" s="14"/>
      <c r="BL747" s="1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5"/>
      <c r="S748" s="16"/>
      <c r="T748" s="16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7"/>
      <c r="AJ748" s="12"/>
      <c r="AK748" s="12"/>
      <c r="AL748" s="13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4"/>
      <c r="BK748" s="14"/>
      <c r="BL748" s="1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5"/>
      <c r="S749" s="16"/>
      <c r="T749" s="16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7"/>
      <c r="AJ749" s="12"/>
      <c r="AK749" s="12"/>
      <c r="AL749" s="13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4"/>
      <c r="BK749" s="14"/>
      <c r="BL749" s="1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5"/>
      <c r="S750" s="16"/>
      <c r="T750" s="16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7"/>
      <c r="AJ750" s="12"/>
      <c r="AK750" s="12"/>
      <c r="AL750" s="13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4"/>
      <c r="BK750" s="14"/>
      <c r="BL750" s="1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5"/>
      <c r="S751" s="16"/>
      <c r="T751" s="16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7"/>
      <c r="AJ751" s="12"/>
      <c r="AK751" s="12"/>
      <c r="AL751" s="13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4"/>
      <c r="BK751" s="14"/>
      <c r="BL751" s="1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5"/>
      <c r="S752" s="16"/>
      <c r="T752" s="16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7"/>
      <c r="AJ752" s="12"/>
      <c r="AK752" s="12"/>
      <c r="AL752" s="13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4"/>
      <c r="BK752" s="14"/>
      <c r="BL752" s="1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5"/>
      <c r="S753" s="16"/>
      <c r="T753" s="16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7"/>
      <c r="AJ753" s="12"/>
      <c r="AK753" s="12"/>
      <c r="AL753" s="13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4"/>
      <c r="BK753" s="14"/>
      <c r="BL753" s="1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5"/>
      <c r="S754" s="16"/>
      <c r="T754" s="16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7"/>
      <c r="AJ754" s="12"/>
      <c r="AK754" s="12"/>
      <c r="AL754" s="13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4"/>
      <c r="BK754" s="14"/>
      <c r="BL754" s="1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5"/>
      <c r="S755" s="16"/>
      <c r="T755" s="16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7"/>
      <c r="AJ755" s="12"/>
      <c r="AK755" s="12"/>
      <c r="AL755" s="13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4"/>
      <c r="BK755" s="14"/>
      <c r="BL755" s="1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5"/>
      <c r="S756" s="16"/>
      <c r="T756" s="16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7"/>
      <c r="AJ756" s="12"/>
      <c r="AK756" s="12"/>
      <c r="AL756" s="13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4"/>
      <c r="BK756" s="14"/>
      <c r="BL756" s="1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5"/>
      <c r="S757" s="16"/>
      <c r="T757" s="16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7"/>
      <c r="AJ757" s="12"/>
      <c r="AK757" s="12"/>
      <c r="AL757" s="13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4"/>
      <c r="BK757" s="14"/>
      <c r="BL757" s="1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5"/>
      <c r="S758" s="16"/>
      <c r="T758" s="16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7"/>
      <c r="AJ758" s="12"/>
      <c r="AK758" s="12"/>
      <c r="AL758" s="13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4"/>
      <c r="BK758" s="14"/>
      <c r="BL758" s="1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5"/>
      <c r="S759" s="16"/>
      <c r="T759" s="16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7"/>
      <c r="AJ759" s="12"/>
      <c r="AK759" s="12"/>
      <c r="AL759" s="13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4"/>
      <c r="BK759" s="14"/>
      <c r="BL759" s="1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5"/>
      <c r="S760" s="16"/>
      <c r="T760" s="16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7"/>
      <c r="AJ760" s="12"/>
      <c r="AK760" s="12"/>
      <c r="AL760" s="13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4"/>
      <c r="BK760" s="14"/>
      <c r="BL760" s="1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5"/>
      <c r="S761" s="16"/>
      <c r="T761" s="16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7"/>
      <c r="AJ761" s="12"/>
      <c r="AK761" s="12"/>
      <c r="AL761" s="13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4"/>
      <c r="BK761" s="14"/>
      <c r="BL761" s="1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5"/>
      <c r="S762" s="16"/>
      <c r="T762" s="16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7"/>
      <c r="AJ762" s="12"/>
      <c r="AK762" s="12"/>
      <c r="AL762" s="13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4"/>
      <c r="BK762" s="14"/>
      <c r="BL762" s="1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5"/>
      <c r="S763" s="16"/>
      <c r="T763" s="16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7"/>
      <c r="AJ763" s="12"/>
      <c r="AK763" s="12"/>
      <c r="AL763" s="13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4"/>
      <c r="BK763" s="14"/>
      <c r="BL763" s="1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5"/>
      <c r="S764" s="16"/>
      <c r="T764" s="16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7"/>
      <c r="AJ764" s="12"/>
      <c r="AK764" s="12"/>
      <c r="AL764" s="13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4"/>
      <c r="BK764" s="14"/>
      <c r="BL764" s="1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5"/>
      <c r="S765" s="16"/>
      <c r="T765" s="16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7"/>
      <c r="AJ765" s="12"/>
      <c r="AK765" s="12"/>
      <c r="AL765" s="13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4"/>
      <c r="BK765" s="14"/>
      <c r="BL765" s="1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5"/>
      <c r="S766" s="16"/>
      <c r="T766" s="16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7"/>
      <c r="AJ766" s="12"/>
      <c r="AK766" s="12"/>
      <c r="AL766" s="13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4"/>
      <c r="BK766" s="14"/>
      <c r="BL766" s="1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5"/>
      <c r="S767" s="16"/>
      <c r="T767" s="16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7"/>
      <c r="AJ767" s="12"/>
      <c r="AK767" s="12"/>
      <c r="AL767" s="13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4"/>
      <c r="BK767" s="14"/>
      <c r="BL767" s="1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5"/>
      <c r="S768" s="16"/>
      <c r="T768" s="16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7"/>
      <c r="AJ768" s="12"/>
      <c r="AK768" s="12"/>
      <c r="AL768" s="13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4"/>
      <c r="BK768" s="14"/>
      <c r="BL768" s="1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5"/>
      <c r="S769" s="16"/>
      <c r="T769" s="16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7"/>
      <c r="AJ769" s="12"/>
      <c r="AK769" s="12"/>
      <c r="AL769" s="13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4"/>
      <c r="BK769" s="14"/>
      <c r="BL769" s="1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5"/>
      <c r="S770" s="16"/>
      <c r="T770" s="16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7"/>
      <c r="AJ770" s="12"/>
      <c r="AK770" s="12"/>
      <c r="AL770" s="13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4"/>
      <c r="BK770" s="14"/>
      <c r="BL770" s="1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5"/>
      <c r="S771" s="16"/>
      <c r="T771" s="16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7"/>
      <c r="AJ771" s="12"/>
      <c r="AK771" s="12"/>
      <c r="AL771" s="13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4"/>
      <c r="BK771" s="14"/>
      <c r="BL771" s="1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5"/>
      <c r="S772" s="16"/>
      <c r="T772" s="16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7"/>
      <c r="AJ772" s="12"/>
      <c r="AK772" s="12"/>
      <c r="AL772" s="13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4"/>
      <c r="BK772" s="14"/>
      <c r="BL772" s="1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5"/>
      <c r="S773" s="16"/>
      <c r="T773" s="16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7"/>
      <c r="AJ773" s="12"/>
      <c r="AK773" s="12"/>
      <c r="AL773" s="13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4"/>
      <c r="BK773" s="14"/>
      <c r="BL773" s="1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5"/>
      <c r="S774" s="16"/>
      <c r="T774" s="16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7"/>
      <c r="AJ774" s="12"/>
      <c r="AK774" s="12"/>
      <c r="AL774" s="13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4"/>
      <c r="BK774" s="14"/>
      <c r="BL774" s="1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5"/>
      <c r="S775" s="16"/>
      <c r="T775" s="16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7"/>
      <c r="AJ775" s="12"/>
      <c r="AK775" s="12"/>
      <c r="AL775" s="13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4"/>
      <c r="BK775" s="14"/>
      <c r="BL775" s="1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5"/>
      <c r="S776" s="16"/>
      <c r="T776" s="16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7"/>
      <c r="AJ776" s="12"/>
      <c r="AK776" s="12"/>
      <c r="AL776" s="13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4"/>
      <c r="BK776" s="14"/>
      <c r="BL776" s="1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5"/>
      <c r="S777" s="16"/>
      <c r="T777" s="16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7"/>
      <c r="AJ777" s="12"/>
      <c r="AK777" s="12"/>
      <c r="AL777" s="13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4"/>
      <c r="BK777" s="14"/>
      <c r="BL777" s="1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5"/>
      <c r="S778" s="16"/>
      <c r="T778" s="16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7"/>
      <c r="AJ778" s="12"/>
      <c r="AK778" s="12"/>
      <c r="AL778" s="13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4"/>
      <c r="BK778" s="14"/>
      <c r="BL778" s="1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5"/>
      <c r="S779" s="16"/>
      <c r="T779" s="16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7"/>
      <c r="AJ779" s="12"/>
      <c r="AK779" s="12"/>
      <c r="AL779" s="13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4"/>
      <c r="BK779" s="14"/>
      <c r="BL779" s="1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5"/>
      <c r="S780" s="16"/>
      <c r="T780" s="16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7"/>
      <c r="AJ780" s="12"/>
      <c r="AK780" s="12"/>
      <c r="AL780" s="13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4"/>
      <c r="BK780" s="14"/>
      <c r="BL780" s="1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5"/>
      <c r="S781" s="16"/>
      <c r="T781" s="16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7"/>
      <c r="AJ781" s="12"/>
      <c r="AK781" s="12"/>
      <c r="AL781" s="13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4"/>
      <c r="BK781" s="14"/>
      <c r="BL781" s="1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5"/>
      <c r="S782" s="16"/>
      <c r="T782" s="16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7"/>
      <c r="AJ782" s="12"/>
      <c r="AK782" s="12"/>
      <c r="AL782" s="13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4"/>
      <c r="BK782" s="14"/>
      <c r="BL782" s="1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5"/>
      <c r="S783" s="16"/>
      <c r="T783" s="16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7"/>
      <c r="AJ783" s="12"/>
      <c r="AK783" s="12"/>
      <c r="AL783" s="13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4"/>
      <c r="BK783" s="14"/>
      <c r="BL783" s="1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5"/>
      <c r="S784" s="16"/>
      <c r="T784" s="16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7"/>
      <c r="AJ784" s="12"/>
      <c r="AK784" s="12"/>
      <c r="AL784" s="13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4"/>
      <c r="BK784" s="14"/>
      <c r="BL784" s="1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5"/>
      <c r="S785" s="16"/>
      <c r="T785" s="16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7"/>
      <c r="AJ785" s="12"/>
      <c r="AK785" s="12"/>
      <c r="AL785" s="13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4"/>
      <c r="BK785" s="14"/>
      <c r="BL785" s="1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5"/>
      <c r="S786" s="16"/>
      <c r="T786" s="16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7"/>
      <c r="AJ786" s="12"/>
      <c r="AK786" s="12"/>
      <c r="AL786" s="13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4"/>
      <c r="BK786" s="14"/>
      <c r="BL786" s="1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5"/>
      <c r="S787" s="16"/>
      <c r="T787" s="16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7"/>
      <c r="AJ787" s="12"/>
      <c r="AK787" s="12"/>
      <c r="AL787" s="13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4"/>
      <c r="BK787" s="14"/>
      <c r="BL787" s="1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5"/>
      <c r="S788" s="16"/>
      <c r="T788" s="16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7"/>
      <c r="AJ788" s="12"/>
      <c r="AK788" s="12"/>
      <c r="AL788" s="13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4"/>
      <c r="BK788" s="14"/>
      <c r="BL788" s="1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5"/>
      <c r="S789" s="16"/>
      <c r="T789" s="16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7"/>
      <c r="AJ789" s="12"/>
      <c r="AK789" s="12"/>
      <c r="AL789" s="13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4"/>
      <c r="BK789" s="14"/>
      <c r="BL789" s="1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5"/>
      <c r="S790" s="16"/>
      <c r="T790" s="16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7"/>
      <c r="AJ790" s="12"/>
      <c r="AK790" s="12"/>
      <c r="AL790" s="13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4"/>
      <c r="BK790" s="14"/>
      <c r="BL790" s="1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5"/>
      <c r="S791" s="16"/>
      <c r="T791" s="16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7"/>
      <c r="AJ791" s="12"/>
      <c r="AK791" s="12"/>
      <c r="AL791" s="13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4"/>
      <c r="BK791" s="14"/>
      <c r="BL791" s="1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5"/>
      <c r="S792" s="16"/>
      <c r="T792" s="16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7"/>
      <c r="AJ792" s="12"/>
      <c r="AK792" s="12"/>
      <c r="AL792" s="13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4"/>
      <c r="BK792" s="14"/>
      <c r="BL792" s="1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5"/>
      <c r="S793" s="16"/>
      <c r="T793" s="16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7"/>
      <c r="AJ793" s="12"/>
      <c r="AK793" s="12"/>
      <c r="AL793" s="13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4"/>
      <c r="BK793" s="14"/>
      <c r="BL793" s="1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5"/>
      <c r="S794" s="16"/>
      <c r="T794" s="16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7"/>
      <c r="AJ794" s="12"/>
      <c r="AK794" s="12"/>
      <c r="AL794" s="13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4"/>
      <c r="BK794" s="14"/>
      <c r="BL794" s="1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5"/>
      <c r="S795" s="16"/>
      <c r="T795" s="16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7"/>
      <c r="AJ795" s="12"/>
      <c r="AK795" s="12"/>
      <c r="AL795" s="13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4"/>
      <c r="BK795" s="14"/>
      <c r="BL795" s="1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5"/>
      <c r="S796" s="16"/>
      <c r="T796" s="16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7"/>
      <c r="AJ796" s="12"/>
      <c r="AK796" s="12"/>
      <c r="AL796" s="13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4"/>
      <c r="BK796" s="14"/>
      <c r="BL796" s="1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5"/>
      <c r="S797" s="16"/>
      <c r="T797" s="16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7"/>
      <c r="AJ797" s="12"/>
      <c r="AK797" s="12"/>
      <c r="AL797" s="13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4"/>
      <c r="BK797" s="14"/>
      <c r="BL797" s="1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5"/>
      <c r="S798" s="16"/>
      <c r="T798" s="16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7"/>
      <c r="AJ798" s="12"/>
      <c r="AK798" s="12"/>
      <c r="AL798" s="13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4"/>
      <c r="BK798" s="14"/>
      <c r="BL798" s="1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5"/>
      <c r="S799" s="16"/>
      <c r="T799" s="16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7"/>
      <c r="AJ799" s="12"/>
      <c r="AK799" s="12"/>
      <c r="AL799" s="13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4"/>
      <c r="BK799" s="14"/>
      <c r="BL799" s="1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5"/>
      <c r="S800" s="16"/>
      <c r="T800" s="16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7"/>
      <c r="AJ800" s="12"/>
      <c r="AK800" s="12"/>
      <c r="AL800" s="13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4"/>
      <c r="BK800" s="14"/>
      <c r="BL800" s="1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5"/>
      <c r="S801" s="16"/>
      <c r="T801" s="16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7"/>
      <c r="AJ801" s="12"/>
      <c r="AK801" s="12"/>
      <c r="AL801" s="13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4"/>
      <c r="BK801" s="14"/>
      <c r="BL801" s="1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5"/>
      <c r="S802" s="16"/>
      <c r="T802" s="16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7"/>
      <c r="AJ802" s="12"/>
      <c r="AK802" s="12"/>
      <c r="AL802" s="13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4"/>
      <c r="BK802" s="14"/>
      <c r="BL802" s="1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5"/>
      <c r="S803" s="16"/>
      <c r="T803" s="16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7"/>
      <c r="AJ803" s="12"/>
      <c r="AK803" s="12"/>
      <c r="AL803" s="13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4"/>
      <c r="BK803" s="14"/>
      <c r="BL803" s="1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5"/>
      <c r="S804" s="16"/>
      <c r="T804" s="16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7"/>
      <c r="AJ804" s="12"/>
      <c r="AK804" s="12"/>
      <c r="AL804" s="13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4"/>
      <c r="BK804" s="14"/>
      <c r="BL804" s="1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5"/>
      <c r="S805" s="16"/>
      <c r="T805" s="16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7"/>
      <c r="AJ805" s="12"/>
      <c r="AK805" s="12"/>
      <c r="AL805" s="13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4"/>
      <c r="BK805" s="14"/>
      <c r="BL805" s="1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5"/>
      <c r="S806" s="16"/>
      <c r="T806" s="16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7"/>
      <c r="AJ806" s="12"/>
      <c r="AK806" s="12"/>
      <c r="AL806" s="13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4"/>
      <c r="BK806" s="14"/>
      <c r="BL806" s="1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5"/>
      <c r="S807" s="16"/>
      <c r="T807" s="16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7"/>
      <c r="AJ807" s="12"/>
      <c r="AK807" s="12"/>
      <c r="AL807" s="13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4"/>
      <c r="BK807" s="14"/>
      <c r="BL807" s="1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5"/>
      <c r="S808" s="16"/>
      <c r="T808" s="16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7"/>
      <c r="AJ808" s="12"/>
      <c r="AK808" s="12"/>
      <c r="AL808" s="13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4"/>
      <c r="BK808" s="14"/>
      <c r="BL808" s="1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5"/>
      <c r="S809" s="16"/>
      <c r="T809" s="16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7"/>
      <c r="AJ809" s="12"/>
      <c r="AK809" s="12"/>
      <c r="AL809" s="13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4"/>
      <c r="BK809" s="14"/>
      <c r="BL809" s="1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5"/>
      <c r="S810" s="16"/>
      <c r="T810" s="16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7"/>
      <c r="AJ810" s="12"/>
      <c r="AK810" s="12"/>
      <c r="AL810" s="13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4"/>
      <c r="BK810" s="14"/>
      <c r="BL810" s="1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5"/>
      <c r="S811" s="16"/>
      <c r="T811" s="16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7"/>
      <c r="AJ811" s="12"/>
      <c r="AK811" s="12"/>
      <c r="AL811" s="13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4"/>
      <c r="BK811" s="14"/>
      <c r="BL811" s="1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5"/>
      <c r="S812" s="16"/>
      <c r="T812" s="16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7"/>
      <c r="AJ812" s="12"/>
      <c r="AK812" s="12"/>
      <c r="AL812" s="13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4"/>
      <c r="BK812" s="14"/>
      <c r="BL812" s="1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5"/>
      <c r="S813" s="16"/>
      <c r="T813" s="16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7"/>
      <c r="AJ813" s="12"/>
      <c r="AK813" s="12"/>
      <c r="AL813" s="13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4"/>
      <c r="BK813" s="14"/>
      <c r="BL813" s="1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5"/>
      <c r="S814" s="16"/>
      <c r="T814" s="16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7"/>
      <c r="AJ814" s="12"/>
      <c r="AK814" s="12"/>
      <c r="AL814" s="13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4"/>
      <c r="BK814" s="14"/>
      <c r="BL814" s="1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5"/>
      <c r="S815" s="16"/>
      <c r="T815" s="16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7"/>
      <c r="AJ815" s="12"/>
      <c r="AK815" s="12"/>
      <c r="AL815" s="13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4"/>
      <c r="BK815" s="14"/>
      <c r="BL815" s="1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5"/>
      <c r="S816" s="16"/>
      <c r="T816" s="16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7"/>
      <c r="AJ816" s="12"/>
      <c r="AK816" s="12"/>
      <c r="AL816" s="13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4"/>
      <c r="BK816" s="14"/>
      <c r="BL816" s="1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5"/>
      <c r="S817" s="16"/>
      <c r="T817" s="16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7"/>
      <c r="AJ817" s="12"/>
      <c r="AK817" s="12"/>
      <c r="AL817" s="13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4"/>
      <c r="BK817" s="14"/>
      <c r="BL817" s="1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5"/>
      <c r="S818" s="16"/>
      <c r="T818" s="16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7"/>
      <c r="AJ818" s="12"/>
      <c r="AK818" s="12"/>
      <c r="AL818" s="13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4"/>
      <c r="BK818" s="14"/>
      <c r="BL818" s="1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5"/>
      <c r="S819" s="16"/>
      <c r="T819" s="16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7"/>
      <c r="AJ819" s="12"/>
      <c r="AK819" s="12"/>
      <c r="AL819" s="13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4"/>
      <c r="BK819" s="14"/>
      <c r="BL819" s="1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5"/>
      <c r="S820" s="16"/>
      <c r="T820" s="16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7"/>
      <c r="AJ820" s="12"/>
      <c r="AK820" s="12"/>
      <c r="AL820" s="13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4"/>
      <c r="BK820" s="14"/>
      <c r="BL820" s="1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5"/>
      <c r="S821" s="16"/>
      <c r="T821" s="16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7"/>
      <c r="AJ821" s="12"/>
      <c r="AK821" s="12"/>
      <c r="AL821" s="13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4"/>
      <c r="BK821" s="14"/>
      <c r="BL821" s="1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5"/>
      <c r="S822" s="16"/>
      <c r="T822" s="16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7"/>
      <c r="AJ822" s="12"/>
      <c r="AK822" s="12"/>
      <c r="AL822" s="13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4"/>
      <c r="BK822" s="14"/>
      <c r="BL822" s="1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5"/>
      <c r="S823" s="16"/>
      <c r="T823" s="16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7"/>
      <c r="AJ823" s="12"/>
      <c r="AK823" s="12"/>
      <c r="AL823" s="13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4"/>
      <c r="BK823" s="14"/>
      <c r="BL823" s="1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5"/>
      <c r="S824" s="16"/>
      <c r="T824" s="16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7"/>
      <c r="AJ824" s="12"/>
      <c r="AK824" s="12"/>
      <c r="AL824" s="13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4"/>
      <c r="BK824" s="14"/>
      <c r="BL824" s="1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5"/>
      <c r="S825" s="16"/>
      <c r="T825" s="16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7"/>
      <c r="AJ825" s="12"/>
      <c r="AK825" s="12"/>
      <c r="AL825" s="13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4"/>
      <c r="BK825" s="14"/>
      <c r="BL825" s="1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5"/>
      <c r="S826" s="16"/>
      <c r="T826" s="16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7"/>
      <c r="AJ826" s="12"/>
      <c r="AK826" s="12"/>
      <c r="AL826" s="13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4"/>
      <c r="BK826" s="14"/>
      <c r="BL826" s="1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5"/>
      <c r="S827" s="16"/>
      <c r="T827" s="16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7"/>
      <c r="AJ827" s="12"/>
      <c r="AK827" s="12"/>
      <c r="AL827" s="13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4"/>
      <c r="BK827" s="14"/>
      <c r="BL827" s="1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5"/>
      <c r="S828" s="16"/>
      <c r="T828" s="16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7"/>
      <c r="AJ828" s="12"/>
      <c r="AK828" s="12"/>
      <c r="AL828" s="13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4"/>
      <c r="BK828" s="14"/>
      <c r="BL828" s="1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5"/>
      <c r="S829" s="16"/>
      <c r="T829" s="16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7"/>
      <c r="AJ829" s="12"/>
      <c r="AK829" s="12"/>
      <c r="AL829" s="13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4"/>
      <c r="BK829" s="14"/>
      <c r="BL829" s="1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5"/>
      <c r="S830" s="16"/>
      <c r="T830" s="16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7"/>
      <c r="AJ830" s="12"/>
      <c r="AK830" s="12"/>
      <c r="AL830" s="13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4"/>
      <c r="BK830" s="14"/>
      <c r="BL830" s="1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5"/>
      <c r="S831" s="16"/>
      <c r="T831" s="16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7"/>
      <c r="AJ831" s="12"/>
      <c r="AK831" s="12"/>
      <c r="AL831" s="13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4"/>
      <c r="BK831" s="14"/>
      <c r="BL831" s="1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5"/>
      <c r="S832" s="16"/>
      <c r="T832" s="16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7"/>
      <c r="AJ832" s="12"/>
      <c r="AK832" s="12"/>
      <c r="AL832" s="13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4"/>
      <c r="BK832" s="14"/>
      <c r="BL832" s="1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5"/>
      <c r="S833" s="16"/>
      <c r="T833" s="16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7"/>
      <c r="AJ833" s="12"/>
      <c r="AK833" s="12"/>
      <c r="AL833" s="13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4"/>
      <c r="BK833" s="14"/>
      <c r="BL833" s="1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5"/>
      <c r="S834" s="16"/>
      <c r="T834" s="16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7"/>
      <c r="AJ834" s="12"/>
      <c r="AK834" s="12"/>
      <c r="AL834" s="13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4"/>
      <c r="BK834" s="14"/>
      <c r="BL834" s="1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5"/>
      <c r="S835" s="16"/>
      <c r="T835" s="16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7"/>
      <c r="AJ835" s="12"/>
      <c r="AK835" s="12"/>
      <c r="AL835" s="13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4"/>
      <c r="BK835" s="14"/>
      <c r="BL835" s="1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5"/>
      <c r="S836" s="16"/>
      <c r="T836" s="16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7"/>
      <c r="AJ836" s="12"/>
      <c r="AK836" s="12"/>
      <c r="AL836" s="13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4"/>
      <c r="BK836" s="14"/>
      <c r="BL836" s="1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5"/>
      <c r="S837" s="16"/>
      <c r="T837" s="16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7"/>
      <c r="AJ837" s="12"/>
      <c r="AK837" s="12"/>
      <c r="AL837" s="13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4"/>
      <c r="BK837" s="14"/>
      <c r="BL837" s="1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5"/>
      <c r="S838" s="16"/>
      <c r="T838" s="16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7"/>
      <c r="AJ838" s="12"/>
      <c r="AK838" s="12"/>
      <c r="AL838" s="13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4"/>
      <c r="BK838" s="14"/>
      <c r="BL838" s="1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5"/>
      <c r="S839" s="16"/>
      <c r="T839" s="16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7"/>
      <c r="AJ839" s="12"/>
      <c r="AK839" s="12"/>
      <c r="AL839" s="13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4"/>
      <c r="BK839" s="14"/>
      <c r="BL839" s="1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5"/>
      <c r="S840" s="16"/>
      <c r="T840" s="16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7"/>
      <c r="AJ840" s="12"/>
      <c r="AK840" s="12"/>
      <c r="AL840" s="13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4"/>
      <c r="BK840" s="14"/>
      <c r="BL840" s="1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5"/>
      <c r="S841" s="16"/>
      <c r="T841" s="16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7"/>
      <c r="AJ841" s="12"/>
      <c r="AK841" s="12"/>
      <c r="AL841" s="13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4"/>
      <c r="BK841" s="14"/>
      <c r="BL841" s="1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5"/>
      <c r="S842" s="16"/>
      <c r="T842" s="16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7"/>
      <c r="AJ842" s="12"/>
      <c r="AK842" s="12"/>
      <c r="AL842" s="13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4"/>
      <c r="BK842" s="14"/>
      <c r="BL842" s="1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5"/>
      <c r="S843" s="16"/>
      <c r="T843" s="16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7"/>
      <c r="AJ843" s="12"/>
      <c r="AK843" s="12"/>
      <c r="AL843" s="13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4"/>
      <c r="BK843" s="14"/>
      <c r="BL843" s="1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5"/>
      <c r="S844" s="16"/>
      <c r="T844" s="16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7"/>
      <c r="AJ844" s="12"/>
      <c r="AK844" s="12"/>
      <c r="AL844" s="13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4"/>
      <c r="BK844" s="14"/>
      <c r="BL844" s="1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5"/>
      <c r="S845" s="16"/>
      <c r="T845" s="16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7"/>
      <c r="AJ845" s="12"/>
      <c r="AK845" s="12"/>
      <c r="AL845" s="13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4"/>
      <c r="BK845" s="14"/>
      <c r="BL845" s="1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5"/>
      <c r="S846" s="16"/>
      <c r="T846" s="16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7"/>
      <c r="AJ846" s="12"/>
      <c r="AK846" s="12"/>
      <c r="AL846" s="13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4"/>
      <c r="BK846" s="14"/>
      <c r="BL846" s="1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5"/>
      <c r="S847" s="16"/>
      <c r="T847" s="16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7"/>
      <c r="AJ847" s="12"/>
      <c r="AK847" s="12"/>
      <c r="AL847" s="13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4"/>
      <c r="BK847" s="14"/>
      <c r="BL847" s="1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5"/>
      <c r="S848" s="16"/>
      <c r="T848" s="16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7"/>
      <c r="AJ848" s="12"/>
      <c r="AK848" s="12"/>
      <c r="AL848" s="13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4"/>
      <c r="BK848" s="14"/>
      <c r="BL848" s="1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5"/>
      <c r="S849" s="16"/>
      <c r="T849" s="16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7"/>
      <c r="AJ849" s="12"/>
      <c r="AK849" s="12"/>
      <c r="AL849" s="13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4"/>
      <c r="BK849" s="14"/>
      <c r="BL849" s="1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5"/>
      <c r="S850" s="16"/>
      <c r="T850" s="16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7"/>
      <c r="AJ850" s="12"/>
      <c r="AK850" s="12"/>
      <c r="AL850" s="13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4"/>
      <c r="BK850" s="14"/>
      <c r="BL850" s="1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5"/>
      <c r="S851" s="16"/>
      <c r="T851" s="16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7"/>
      <c r="AJ851" s="12"/>
      <c r="AK851" s="12"/>
      <c r="AL851" s="13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4"/>
      <c r="BK851" s="14"/>
      <c r="BL851" s="1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5"/>
      <c r="S852" s="16"/>
      <c r="T852" s="16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7"/>
      <c r="AJ852" s="12"/>
      <c r="AK852" s="12"/>
      <c r="AL852" s="13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4"/>
      <c r="BK852" s="14"/>
      <c r="BL852" s="1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5"/>
      <c r="S853" s="16"/>
      <c r="T853" s="16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7"/>
      <c r="AJ853" s="12"/>
      <c r="AK853" s="12"/>
      <c r="AL853" s="13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4"/>
      <c r="BK853" s="14"/>
      <c r="BL853" s="1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5"/>
      <c r="S854" s="16"/>
      <c r="T854" s="16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7"/>
      <c r="AJ854" s="12"/>
      <c r="AK854" s="12"/>
      <c r="AL854" s="13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4"/>
      <c r="BK854" s="14"/>
      <c r="BL854" s="1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5"/>
      <c r="S855" s="16"/>
      <c r="T855" s="16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7"/>
      <c r="AJ855" s="12"/>
      <c r="AK855" s="12"/>
      <c r="AL855" s="13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4"/>
      <c r="BK855" s="14"/>
      <c r="BL855" s="1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5"/>
      <c r="S856" s="16"/>
      <c r="T856" s="16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7"/>
      <c r="AJ856" s="12"/>
      <c r="AK856" s="12"/>
      <c r="AL856" s="13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4"/>
      <c r="BK856" s="14"/>
      <c r="BL856" s="1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5"/>
      <c r="S857" s="16"/>
      <c r="T857" s="16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7"/>
      <c r="AJ857" s="12"/>
      <c r="AK857" s="12"/>
      <c r="AL857" s="13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4"/>
      <c r="BK857" s="14"/>
      <c r="BL857" s="1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5"/>
      <c r="S858" s="16"/>
      <c r="T858" s="16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7"/>
      <c r="AJ858" s="12"/>
      <c r="AK858" s="12"/>
      <c r="AL858" s="13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4"/>
      <c r="BK858" s="14"/>
      <c r="BL858" s="1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5"/>
      <c r="S859" s="16"/>
      <c r="T859" s="16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7"/>
      <c r="AJ859" s="12"/>
      <c r="AK859" s="12"/>
      <c r="AL859" s="13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4"/>
      <c r="BK859" s="14"/>
      <c r="BL859" s="1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5"/>
      <c r="S860" s="16"/>
      <c r="T860" s="16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7"/>
      <c r="AJ860" s="12"/>
      <c r="AK860" s="12"/>
      <c r="AL860" s="13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4"/>
      <c r="BK860" s="14"/>
      <c r="BL860" s="1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5"/>
      <c r="S861" s="16"/>
      <c r="T861" s="16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7"/>
      <c r="AJ861" s="12"/>
      <c r="AK861" s="12"/>
      <c r="AL861" s="13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4"/>
      <c r="BK861" s="14"/>
      <c r="BL861" s="1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5"/>
      <c r="S862" s="16"/>
      <c r="T862" s="16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7"/>
      <c r="AJ862" s="12"/>
      <c r="AK862" s="12"/>
      <c r="AL862" s="13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4"/>
      <c r="BK862" s="14"/>
      <c r="BL862" s="1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5"/>
      <c r="S863" s="16"/>
      <c r="T863" s="16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7"/>
      <c r="AJ863" s="12"/>
      <c r="AK863" s="12"/>
      <c r="AL863" s="13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4"/>
      <c r="BK863" s="14"/>
      <c r="BL863" s="1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5"/>
      <c r="S864" s="16"/>
      <c r="T864" s="16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7"/>
      <c r="AJ864" s="12"/>
      <c r="AK864" s="12"/>
      <c r="AL864" s="13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4"/>
      <c r="BK864" s="14"/>
      <c r="BL864" s="1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5"/>
      <c r="S865" s="16"/>
      <c r="T865" s="16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7"/>
      <c r="AJ865" s="12"/>
      <c r="AK865" s="12"/>
      <c r="AL865" s="13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4"/>
      <c r="BK865" s="14"/>
      <c r="BL865" s="1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5"/>
      <c r="S866" s="16"/>
      <c r="T866" s="16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7"/>
      <c r="AJ866" s="12"/>
      <c r="AK866" s="12"/>
      <c r="AL866" s="13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4"/>
      <c r="BK866" s="14"/>
      <c r="BL866" s="1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5"/>
      <c r="S867" s="16"/>
      <c r="T867" s="16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7"/>
      <c r="AJ867" s="12"/>
      <c r="AK867" s="12"/>
      <c r="AL867" s="13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4"/>
      <c r="BK867" s="14"/>
      <c r="BL867" s="1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5"/>
      <c r="S868" s="16"/>
      <c r="T868" s="16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7"/>
      <c r="AJ868" s="12"/>
      <c r="AK868" s="12"/>
      <c r="AL868" s="13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4"/>
      <c r="BK868" s="14"/>
      <c r="BL868" s="1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5"/>
      <c r="S869" s="16"/>
      <c r="T869" s="16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7"/>
      <c r="AJ869" s="12"/>
      <c r="AK869" s="12"/>
      <c r="AL869" s="13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4"/>
      <c r="BK869" s="14"/>
      <c r="BL869" s="1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5"/>
      <c r="S870" s="16"/>
      <c r="T870" s="16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7"/>
      <c r="AJ870" s="12"/>
      <c r="AK870" s="12"/>
      <c r="AL870" s="13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4"/>
      <c r="BK870" s="14"/>
      <c r="BL870" s="1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5"/>
      <c r="S871" s="16"/>
      <c r="T871" s="16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7"/>
      <c r="AJ871" s="12"/>
      <c r="AK871" s="12"/>
      <c r="AL871" s="13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4"/>
      <c r="BK871" s="14"/>
      <c r="BL871" s="1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5"/>
      <c r="S872" s="16"/>
      <c r="T872" s="16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7"/>
      <c r="AJ872" s="12"/>
      <c r="AK872" s="12"/>
      <c r="AL872" s="13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4"/>
      <c r="BK872" s="14"/>
      <c r="BL872" s="1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5"/>
      <c r="S873" s="16"/>
      <c r="T873" s="16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7"/>
      <c r="AJ873" s="12"/>
      <c r="AK873" s="12"/>
      <c r="AL873" s="13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4"/>
      <c r="BK873" s="14"/>
      <c r="BL873" s="1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5"/>
      <c r="S874" s="16"/>
      <c r="T874" s="16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7"/>
      <c r="AJ874" s="12"/>
      <c r="AK874" s="12"/>
      <c r="AL874" s="13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4"/>
      <c r="BK874" s="14"/>
      <c r="BL874" s="1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5"/>
      <c r="S875" s="16"/>
      <c r="T875" s="16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7"/>
      <c r="AJ875" s="12"/>
      <c r="AK875" s="12"/>
      <c r="AL875" s="13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4"/>
      <c r="BK875" s="14"/>
      <c r="BL875" s="1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5"/>
      <c r="S876" s="16"/>
      <c r="T876" s="16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7"/>
      <c r="AJ876" s="12"/>
      <c r="AK876" s="12"/>
      <c r="AL876" s="13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4"/>
      <c r="BK876" s="14"/>
      <c r="BL876" s="1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5"/>
      <c r="S877" s="16"/>
      <c r="T877" s="16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7"/>
      <c r="AJ877" s="12"/>
      <c r="AK877" s="12"/>
      <c r="AL877" s="13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4"/>
      <c r="BK877" s="14"/>
      <c r="BL877" s="1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5"/>
      <c r="S878" s="16"/>
      <c r="T878" s="16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7"/>
      <c r="AJ878" s="12"/>
      <c r="AK878" s="12"/>
      <c r="AL878" s="13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4"/>
      <c r="BK878" s="14"/>
      <c r="BL878" s="1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5"/>
      <c r="S879" s="16"/>
      <c r="T879" s="16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7"/>
      <c r="AJ879" s="12"/>
      <c r="AK879" s="12"/>
      <c r="AL879" s="13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4"/>
      <c r="BK879" s="14"/>
      <c r="BL879" s="1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5"/>
      <c r="S880" s="16"/>
      <c r="T880" s="16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7"/>
      <c r="AJ880" s="12"/>
      <c r="AK880" s="12"/>
      <c r="AL880" s="13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4"/>
      <c r="BK880" s="14"/>
      <c r="BL880" s="1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5"/>
      <c r="S881" s="16"/>
      <c r="T881" s="16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7"/>
      <c r="AJ881" s="12"/>
      <c r="AK881" s="12"/>
      <c r="AL881" s="13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4"/>
      <c r="BK881" s="14"/>
      <c r="BL881" s="1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5"/>
      <c r="S882" s="16"/>
      <c r="T882" s="16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7"/>
      <c r="AJ882" s="12"/>
      <c r="AK882" s="12"/>
      <c r="AL882" s="13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4"/>
      <c r="BK882" s="14"/>
      <c r="BL882" s="1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5"/>
      <c r="S883" s="16"/>
      <c r="T883" s="16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7"/>
      <c r="AJ883" s="12"/>
      <c r="AK883" s="12"/>
      <c r="AL883" s="13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4"/>
      <c r="BK883" s="14"/>
      <c r="BL883" s="1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5"/>
      <c r="S884" s="16"/>
      <c r="T884" s="16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7"/>
      <c r="AJ884" s="12"/>
      <c r="AK884" s="12"/>
      <c r="AL884" s="13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4"/>
      <c r="BK884" s="14"/>
      <c r="BL884" s="1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5"/>
      <c r="S885" s="16"/>
      <c r="T885" s="16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7"/>
      <c r="AJ885" s="12"/>
      <c r="AK885" s="12"/>
      <c r="AL885" s="13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4"/>
      <c r="BK885" s="14"/>
      <c r="BL885" s="1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5"/>
      <c r="S886" s="16"/>
      <c r="T886" s="16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7"/>
      <c r="AJ886" s="12"/>
      <c r="AK886" s="12"/>
      <c r="AL886" s="13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4"/>
      <c r="BK886" s="14"/>
      <c r="BL886" s="1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5"/>
      <c r="S887" s="16"/>
      <c r="T887" s="16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7"/>
      <c r="AJ887" s="12"/>
      <c r="AK887" s="12"/>
      <c r="AL887" s="13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4"/>
      <c r="BK887" s="14"/>
      <c r="BL887" s="1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5"/>
      <c r="S888" s="16"/>
      <c r="T888" s="16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7"/>
      <c r="AJ888" s="12"/>
      <c r="AK888" s="12"/>
      <c r="AL888" s="13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4"/>
      <c r="BK888" s="14"/>
      <c r="BL888" s="1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5"/>
      <c r="S889" s="16"/>
      <c r="T889" s="16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7"/>
      <c r="AJ889" s="12"/>
      <c r="AK889" s="12"/>
      <c r="AL889" s="13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4"/>
      <c r="BK889" s="14"/>
      <c r="BL889" s="1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5"/>
      <c r="S890" s="16"/>
      <c r="T890" s="16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7"/>
      <c r="AJ890" s="12"/>
      <c r="AK890" s="12"/>
      <c r="AL890" s="13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4"/>
      <c r="BK890" s="14"/>
      <c r="BL890" s="1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5"/>
      <c r="S891" s="16"/>
      <c r="T891" s="16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7"/>
      <c r="AJ891" s="12"/>
      <c r="AK891" s="12"/>
      <c r="AL891" s="13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4"/>
      <c r="BK891" s="14"/>
      <c r="BL891" s="1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5"/>
      <c r="S892" s="16"/>
      <c r="T892" s="16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7"/>
      <c r="AJ892" s="12"/>
      <c r="AK892" s="12"/>
      <c r="AL892" s="13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4"/>
      <c r="BK892" s="14"/>
      <c r="BL892" s="1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5"/>
      <c r="S893" s="16"/>
      <c r="T893" s="16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7"/>
      <c r="AJ893" s="12"/>
      <c r="AK893" s="12"/>
      <c r="AL893" s="13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4"/>
      <c r="BK893" s="14"/>
      <c r="BL893" s="1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5"/>
      <c r="S894" s="16"/>
      <c r="T894" s="16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7"/>
      <c r="AJ894" s="12"/>
      <c r="AK894" s="12"/>
      <c r="AL894" s="13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4"/>
      <c r="BK894" s="14"/>
      <c r="BL894" s="1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5"/>
      <c r="S895" s="16"/>
      <c r="T895" s="16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7"/>
      <c r="AJ895" s="12"/>
      <c r="AK895" s="12"/>
      <c r="AL895" s="13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4"/>
      <c r="BK895" s="14"/>
      <c r="BL895" s="1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5"/>
      <c r="S896" s="16"/>
      <c r="T896" s="16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7"/>
      <c r="AJ896" s="12"/>
      <c r="AK896" s="12"/>
      <c r="AL896" s="13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4"/>
      <c r="BK896" s="14"/>
      <c r="BL896" s="1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5"/>
      <c r="S897" s="16"/>
      <c r="T897" s="16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7"/>
      <c r="AJ897" s="12"/>
      <c r="AK897" s="12"/>
      <c r="AL897" s="13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4"/>
      <c r="BK897" s="14"/>
      <c r="BL897" s="1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5"/>
      <c r="S898" s="16"/>
      <c r="T898" s="16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7"/>
      <c r="AJ898" s="12"/>
      <c r="AK898" s="12"/>
      <c r="AL898" s="13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4"/>
      <c r="BK898" s="14"/>
      <c r="BL898" s="1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5"/>
      <c r="S899" s="16"/>
      <c r="T899" s="16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7"/>
      <c r="AJ899" s="12"/>
      <c r="AK899" s="12"/>
      <c r="AL899" s="13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4"/>
      <c r="BK899" s="14"/>
      <c r="BL899" s="1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5"/>
      <c r="S900" s="16"/>
      <c r="T900" s="16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7"/>
      <c r="AJ900" s="12"/>
      <c r="AK900" s="12"/>
      <c r="AL900" s="13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4"/>
      <c r="BK900" s="14"/>
      <c r="BL900" s="1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5"/>
      <c r="S901" s="16"/>
      <c r="T901" s="16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7"/>
      <c r="AJ901" s="12"/>
      <c r="AK901" s="12"/>
      <c r="AL901" s="13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4"/>
      <c r="BK901" s="14"/>
      <c r="BL901" s="1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5"/>
      <c r="S902" s="16"/>
      <c r="T902" s="16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7"/>
      <c r="AJ902" s="12"/>
      <c r="AK902" s="12"/>
      <c r="AL902" s="13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4"/>
      <c r="BK902" s="14"/>
      <c r="BL902" s="1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5"/>
      <c r="S903" s="16"/>
      <c r="T903" s="16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7"/>
      <c r="AJ903" s="12"/>
      <c r="AK903" s="12"/>
      <c r="AL903" s="13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4"/>
      <c r="BK903" s="14"/>
      <c r="BL903" s="1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5"/>
      <c r="S904" s="16"/>
      <c r="T904" s="16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7"/>
      <c r="AJ904" s="12"/>
      <c r="AK904" s="12"/>
      <c r="AL904" s="13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4"/>
      <c r="BK904" s="14"/>
      <c r="BL904" s="1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5"/>
      <c r="S905" s="16"/>
      <c r="T905" s="16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7"/>
      <c r="AJ905" s="12"/>
      <c r="AK905" s="12"/>
      <c r="AL905" s="13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4"/>
      <c r="BK905" s="14"/>
      <c r="BL905" s="1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5"/>
      <c r="S906" s="16"/>
      <c r="T906" s="16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7"/>
      <c r="AJ906" s="12"/>
      <c r="AK906" s="12"/>
      <c r="AL906" s="13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4"/>
      <c r="BK906" s="14"/>
      <c r="BL906" s="1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5"/>
      <c r="S907" s="16"/>
      <c r="T907" s="16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7"/>
      <c r="AJ907" s="12"/>
      <c r="AK907" s="12"/>
      <c r="AL907" s="13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4"/>
      <c r="BK907" s="14"/>
      <c r="BL907" s="1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5"/>
      <c r="S908" s="16"/>
      <c r="T908" s="16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7"/>
      <c r="AJ908" s="12"/>
      <c r="AK908" s="12"/>
      <c r="AL908" s="13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4"/>
      <c r="BK908" s="14"/>
      <c r="BL908" s="1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5"/>
      <c r="S909" s="16"/>
      <c r="T909" s="16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7"/>
      <c r="AJ909" s="12"/>
      <c r="AK909" s="12"/>
      <c r="AL909" s="13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4"/>
      <c r="BK909" s="14"/>
      <c r="BL909" s="1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5"/>
      <c r="S910" s="16"/>
      <c r="T910" s="16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7"/>
      <c r="AJ910" s="12"/>
      <c r="AK910" s="12"/>
      <c r="AL910" s="13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4"/>
      <c r="BK910" s="14"/>
      <c r="BL910" s="1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5"/>
      <c r="S911" s="16"/>
      <c r="T911" s="16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7"/>
      <c r="AJ911" s="12"/>
      <c r="AK911" s="12"/>
      <c r="AL911" s="13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4"/>
      <c r="BK911" s="14"/>
      <c r="BL911" s="1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5"/>
      <c r="S912" s="16"/>
      <c r="T912" s="16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7"/>
      <c r="AJ912" s="12"/>
      <c r="AK912" s="12"/>
      <c r="AL912" s="13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4"/>
      <c r="BK912" s="14"/>
      <c r="BL912" s="1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5"/>
      <c r="S913" s="16"/>
      <c r="T913" s="16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7"/>
      <c r="AJ913" s="12"/>
      <c r="AK913" s="12"/>
      <c r="AL913" s="13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4"/>
      <c r="BK913" s="14"/>
      <c r="BL913" s="1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5"/>
      <c r="S914" s="16"/>
      <c r="T914" s="16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7"/>
      <c r="AJ914" s="12"/>
      <c r="AK914" s="12"/>
      <c r="AL914" s="13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4"/>
      <c r="BK914" s="14"/>
      <c r="BL914" s="1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5"/>
      <c r="S915" s="16"/>
      <c r="T915" s="16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7"/>
      <c r="AJ915" s="12"/>
      <c r="AK915" s="12"/>
      <c r="AL915" s="13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4"/>
      <c r="BK915" s="14"/>
      <c r="BL915" s="1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5"/>
      <c r="S916" s="16"/>
      <c r="T916" s="16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7"/>
      <c r="AJ916" s="12"/>
      <c r="AK916" s="12"/>
      <c r="AL916" s="13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4"/>
      <c r="BK916" s="14"/>
      <c r="BL916" s="1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5"/>
      <c r="S917" s="16"/>
      <c r="T917" s="16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7"/>
      <c r="AJ917" s="12"/>
      <c r="AK917" s="12"/>
      <c r="AL917" s="13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4"/>
      <c r="BK917" s="14"/>
      <c r="BL917" s="1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5"/>
      <c r="S918" s="16"/>
      <c r="T918" s="16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7"/>
      <c r="AJ918" s="12"/>
      <c r="AK918" s="12"/>
      <c r="AL918" s="13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4"/>
      <c r="BK918" s="14"/>
      <c r="BL918" s="1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5"/>
      <c r="S919" s="16"/>
      <c r="T919" s="16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7"/>
      <c r="AJ919" s="12"/>
      <c r="AK919" s="12"/>
      <c r="AL919" s="13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4"/>
      <c r="BK919" s="14"/>
      <c r="BL919" s="1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5"/>
      <c r="S920" s="16"/>
      <c r="T920" s="16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7"/>
      <c r="AJ920" s="12"/>
      <c r="AK920" s="12"/>
      <c r="AL920" s="13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4"/>
      <c r="BK920" s="14"/>
      <c r="BL920" s="1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5"/>
      <c r="S921" s="16"/>
      <c r="T921" s="16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7"/>
      <c r="AJ921" s="12"/>
      <c r="AK921" s="12"/>
      <c r="AL921" s="13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4"/>
      <c r="BK921" s="14"/>
      <c r="BL921" s="1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5"/>
      <c r="S922" s="16"/>
      <c r="T922" s="16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7"/>
      <c r="AJ922" s="12"/>
      <c r="AK922" s="12"/>
      <c r="AL922" s="13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4"/>
      <c r="BK922" s="14"/>
      <c r="BL922" s="1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5"/>
      <c r="S923" s="16"/>
      <c r="T923" s="16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7"/>
      <c r="AJ923" s="12"/>
      <c r="AK923" s="12"/>
      <c r="AL923" s="13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4"/>
      <c r="BK923" s="14"/>
      <c r="BL923" s="1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5"/>
      <c r="S924" s="16"/>
      <c r="T924" s="16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7"/>
      <c r="AJ924" s="12"/>
      <c r="AK924" s="12"/>
      <c r="AL924" s="13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4"/>
      <c r="BK924" s="14"/>
      <c r="BL924" s="1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5"/>
      <c r="S925" s="16"/>
      <c r="T925" s="16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7"/>
      <c r="AJ925" s="12"/>
      <c r="AK925" s="12"/>
      <c r="AL925" s="13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4"/>
      <c r="BK925" s="14"/>
      <c r="BL925" s="1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5"/>
      <c r="S926" s="16"/>
      <c r="T926" s="16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7"/>
      <c r="AJ926" s="12"/>
      <c r="AK926" s="12"/>
      <c r="AL926" s="13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4"/>
      <c r="BK926" s="14"/>
      <c r="BL926" s="1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5"/>
      <c r="S927" s="16"/>
      <c r="T927" s="16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7"/>
      <c r="AJ927" s="12"/>
      <c r="AK927" s="12"/>
      <c r="AL927" s="13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4"/>
      <c r="BK927" s="14"/>
      <c r="BL927" s="1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5"/>
      <c r="S928" s="16"/>
      <c r="T928" s="16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7"/>
      <c r="AJ928" s="12"/>
      <c r="AK928" s="12"/>
      <c r="AL928" s="13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4"/>
      <c r="BK928" s="14"/>
      <c r="BL928" s="1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5"/>
      <c r="S929" s="16"/>
      <c r="T929" s="16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7"/>
      <c r="AJ929" s="12"/>
      <c r="AK929" s="12"/>
      <c r="AL929" s="13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4"/>
      <c r="BK929" s="14"/>
      <c r="BL929" s="1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5"/>
      <c r="S930" s="16"/>
      <c r="T930" s="16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7"/>
      <c r="AJ930" s="12"/>
      <c r="AK930" s="12"/>
      <c r="AL930" s="13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4"/>
      <c r="BK930" s="14"/>
      <c r="BL930" s="1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5"/>
      <c r="S931" s="16"/>
      <c r="T931" s="16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7"/>
      <c r="AJ931" s="12"/>
      <c r="AK931" s="12"/>
      <c r="AL931" s="13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4"/>
      <c r="BK931" s="14"/>
      <c r="BL931" s="1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5"/>
      <c r="S932" s="16"/>
      <c r="T932" s="16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7"/>
      <c r="AJ932" s="12"/>
      <c r="AK932" s="12"/>
      <c r="AL932" s="13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4"/>
      <c r="BK932" s="14"/>
      <c r="BL932" s="1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5"/>
      <c r="S933" s="16"/>
      <c r="T933" s="16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7"/>
      <c r="AJ933" s="12"/>
      <c r="AK933" s="12"/>
      <c r="AL933" s="13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4"/>
      <c r="BK933" s="14"/>
      <c r="BL933" s="1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5"/>
      <c r="S934" s="16"/>
      <c r="T934" s="16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7"/>
      <c r="AJ934" s="12"/>
      <c r="AK934" s="12"/>
      <c r="AL934" s="13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4"/>
      <c r="BK934" s="14"/>
      <c r="BL934" s="1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5"/>
      <c r="S935" s="16"/>
      <c r="T935" s="16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7"/>
      <c r="AJ935" s="12"/>
      <c r="AK935" s="12"/>
      <c r="AL935" s="13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4"/>
      <c r="BK935" s="14"/>
      <c r="BL935" s="1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5"/>
      <c r="S936" s="16"/>
      <c r="T936" s="16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7"/>
      <c r="AJ936" s="12"/>
      <c r="AK936" s="12"/>
      <c r="AL936" s="13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4"/>
      <c r="BK936" s="14"/>
      <c r="BL936" s="1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5"/>
      <c r="S937" s="16"/>
      <c r="T937" s="16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7"/>
      <c r="AJ937" s="12"/>
      <c r="AK937" s="12"/>
      <c r="AL937" s="13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4"/>
      <c r="BK937" s="14"/>
      <c r="BL937" s="1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5"/>
      <c r="S938" s="16"/>
      <c r="T938" s="16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7"/>
      <c r="AJ938" s="12"/>
      <c r="AK938" s="12"/>
      <c r="AL938" s="13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4"/>
      <c r="BK938" s="14"/>
      <c r="BL938" s="1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5"/>
      <c r="S939" s="16"/>
      <c r="T939" s="16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7"/>
      <c r="AJ939" s="12"/>
      <c r="AK939" s="12"/>
      <c r="AL939" s="13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4"/>
      <c r="BK939" s="14"/>
      <c r="BL939" s="1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5"/>
      <c r="S940" s="16"/>
      <c r="T940" s="16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7"/>
      <c r="AJ940" s="12"/>
      <c r="AK940" s="12"/>
      <c r="AL940" s="13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4"/>
      <c r="BK940" s="14"/>
      <c r="BL940" s="1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5"/>
      <c r="S941" s="16"/>
      <c r="T941" s="16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7"/>
      <c r="AJ941" s="12"/>
      <c r="AK941" s="12"/>
      <c r="AL941" s="13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4"/>
      <c r="BK941" s="14"/>
      <c r="BL941" s="1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5"/>
      <c r="S942" s="16"/>
      <c r="T942" s="16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7"/>
      <c r="AJ942" s="12"/>
      <c r="AK942" s="12"/>
      <c r="AL942" s="13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4"/>
      <c r="BK942" s="14"/>
      <c r="BL942" s="1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5"/>
      <c r="S943" s="16"/>
      <c r="T943" s="16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7"/>
      <c r="AJ943" s="12"/>
      <c r="AK943" s="12"/>
      <c r="AL943" s="13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4"/>
      <c r="BK943" s="14"/>
      <c r="BL943" s="1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5"/>
      <c r="S944" s="16"/>
      <c r="T944" s="16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7"/>
      <c r="AJ944" s="12"/>
      <c r="AK944" s="12"/>
      <c r="AL944" s="13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4"/>
      <c r="BK944" s="14"/>
      <c r="BL944" s="1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5"/>
      <c r="S945" s="16"/>
      <c r="T945" s="16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7"/>
      <c r="AJ945" s="12"/>
      <c r="AK945" s="12"/>
      <c r="AL945" s="13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4"/>
      <c r="BK945" s="14"/>
      <c r="BL945" s="1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5"/>
      <c r="S946" s="16"/>
      <c r="T946" s="16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7"/>
      <c r="AJ946" s="12"/>
      <c r="AK946" s="12"/>
      <c r="AL946" s="13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4"/>
      <c r="BK946" s="14"/>
      <c r="BL946" s="1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5"/>
      <c r="S947" s="16"/>
      <c r="T947" s="16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7"/>
      <c r="AJ947" s="12"/>
      <c r="AK947" s="12"/>
      <c r="AL947" s="13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4"/>
      <c r="BK947" s="14"/>
      <c r="BL947" s="1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5"/>
      <c r="S948" s="16"/>
      <c r="T948" s="16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7"/>
      <c r="AJ948" s="12"/>
      <c r="AK948" s="12"/>
      <c r="AL948" s="13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4"/>
      <c r="BK948" s="14"/>
      <c r="BL948" s="1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5"/>
      <c r="S949" s="16"/>
      <c r="T949" s="16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7"/>
      <c r="AJ949" s="12"/>
      <c r="AK949" s="12"/>
      <c r="AL949" s="13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4"/>
      <c r="BK949" s="14"/>
      <c r="BL949" s="1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5"/>
      <c r="S950" s="16"/>
      <c r="T950" s="16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7"/>
      <c r="AJ950" s="12"/>
      <c r="AK950" s="12"/>
      <c r="AL950" s="13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4"/>
      <c r="BK950" s="14"/>
      <c r="BL950" s="1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5"/>
      <c r="S951" s="16"/>
      <c r="T951" s="16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7"/>
      <c r="AJ951" s="12"/>
      <c r="AK951" s="12"/>
      <c r="AL951" s="13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4"/>
      <c r="BK951" s="14"/>
      <c r="BL951" s="1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5"/>
      <c r="S952" s="16"/>
      <c r="T952" s="16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7"/>
      <c r="AJ952" s="12"/>
      <c r="AK952" s="12"/>
      <c r="AL952" s="13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4"/>
      <c r="BK952" s="14"/>
      <c r="BL952" s="1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5"/>
      <c r="S953" s="16"/>
      <c r="T953" s="16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7"/>
      <c r="AJ953" s="12"/>
      <c r="AK953" s="12"/>
      <c r="AL953" s="13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4"/>
      <c r="BK953" s="14"/>
      <c r="BL953" s="1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5"/>
      <c r="S954" s="16"/>
      <c r="T954" s="16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7"/>
      <c r="AJ954" s="12"/>
      <c r="AK954" s="12"/>
      <c r="AL954" s="13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4"/>
      <c r="BK954" s="14"/>
      <c r="BL954" s="1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5"/>
      <c r="S955" s="16"/>
      <c r="T955" s="16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7"/>
      <c r="AJ955" s="12"/>
      <c r="AK955" s="12"/>
      <c r="AL955" s="13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4"/>
      <c r="BK955" s="14"/>
      <c r="BL955" s="1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5"/>
      <c r="S956" s="16"/>
      <c r="T956" s="16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7"/>
      <c r="AJ956" s="12"/>
      <c r="AK956" s="12"/>
      <c r="AL956" s="13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4"/>
      <c r="BK956" s="14"/>
      <c r="BL956" s="1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5"/>
      <c r="S957" s="16"/>
      <c r="T957" s="16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7"/>
      <c r="AJ957" s="12"/>
      <c r="AK957" s="12"/>
      <c r="AL957" s="13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4"/>
      <c r="BK957" s="14"/>
      <c r="BL957" s="1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5"/>
      <c r="S958" s="16"/>
      <c r="T958" s="16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7"/>
      <c r="AJ958" s="12"/>
      <c r="AK958" s="12"/>
      <c r="AL958" s="13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4"/>
      <c r="BK958" s="14"/>
      <c r="BL958" s="1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5"/>
      <c r="S959" s="16"/>
      <c r="T959" s="16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7"/>
      <c r="AJ959" s="12"/>
      <c r="AK959" s="12"/>
      <c r="AL959" s="13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4"/>
      <c r="BK959" s="14"/>
      <c r="BL959" s="1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5"/>
      <c r="S960" s="16"/>
      <c r="T960" s="16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7"/>
      <c r="AJ960" s="12"/>
      <c r="AK960" s="12"/>
      <c r="AL960" s="13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4"/>
      <c r="BK960" s="14"/>
      <c r="BL960" s="1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5"/>
      <c r="S961" s="16"/>
      <c r="T961" s="16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7"/>
      <c r="AJ961" s="12"/>
      <c r="AK961" s="12"/>
      <c r="AL961" s="13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4"/>
      <c r="BK961" s="14"/>
      <c r="BL961" s="1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5"/>
      <c r="S962" s="16"/>
      <c r="T962" s="16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7"/>
      <c r="AJ962" s="12"/>
      <c r="AK962" s="12"/>
      <c r="AL962" s="13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4"/>
      <c r="BK962" s="14"/>
      <c r="BL962" s="1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5"/>
      <c r="S963" s="16"/>
      <c r="T963" s="16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7"/>
      <c r="AJ963" s="12"/>
      <c r="AK963" s="12"/>
      <c r="AL963" s="13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4"/>
      <c r="BK963" s="14"/>
      <c r="BL963" s="1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5"/>
      <c r="S964" s="16"/>
      <c r="T964" s="16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7"/>
      <c r="AJ964" s="12"/>
      <c r="AK964" s="12"/>
      <c r="AL964" s="13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4"/>
      <c r="BK964" s="14"/>
      <c r="BL964" s="1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5"/>
      <c r="S965" s="16"/>
      <c r="T965" s="16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7"/>
      <c r="AJ965" s="12"/>
      <c r="AK965" s="12"/>
      <c r="AL965" s="13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4"/>
      <c r="BK965" s="14"/>
      <c r="BL965" s="1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5"/>
      <c r="S966" s="16"/>
      <c r="T966" s="16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7"/>
      <c r="AJ966" s="12"/>
      <c r="AK966" s="12"/>
      <c r="AL966" s="13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4"/>
      <c r="BK966" s="14"/>
      <c r="BL966" s="1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5"/>
      <c r="S967" s="16"/>
      <c r="T967" s="16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7"/>
      <c r="AJ967" s="12"/>
      <c r="AK967" s="12"/>
      <c r="AL967" s="13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4"/>
      <c r="BK967" s="14"/>
      <c r="BL967" s="1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5"/>
      <c r="S968" s="16"/>
      <c r="T968" s="16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7"/>
      <c r="AJ968" s="12"/>
      <c r="AK968" s="12"/>
      <c r="AL968" s="13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4"/>
      <c r="BK968" s="14"/>
      <c r="BL968" s="1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5"/>
      <c r="S969" s="16"/>
      <c r="T969" s="16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7"/>
      <c r="AJ969" s="12"/>
      <c r="AK969" s="12"/>
      <c r="AL969" s="13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4"/>
      <c r="BK969" s="14"/>
      <c r="BL969" s="1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5"/>
      <c r="S970" s="16"/>
      <c r="T970" s="16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7"/>
      <c r="AJ970" s="12"/>
      <c r="AK970" s="12"/>
      <c r="AL970" s="13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4"/>
      <c r="BK970" s="14"/>
      <c r="BL970" s="1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5"/>
      <c r="S971" s="16"/>
      <c r="T971" s="16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7"/>
      <c r="AJ971" s="12"/>
      <c r="AK971" s="12"/>
      <c r="AL971" s="13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4"/>
      <c r="BK971" s="14"/>
      <c r="BL971" s="1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5"/>
      <c r="S972" s="16"/>
      <c r="T972" s="16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7"/>
      <c r="AJ972" s="12"/>
      <c r="AK972" s="12"/>
      <c r="AL972" s="13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4"/>
      <c r="BK972" s="14"/>
      <c r="BL972" s="1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5"/>
      <c r="S973" s="16"/>
      <c r="T973" s="16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7"/>
      <c r="AJ973" s="12"/>
      <c r="AK973" s="12"/>
      <c r="AL973" s="13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4"/>
      <c r="BK973" s="14"/>
      <c r="BL973" s="1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5"/>
      <c r="S974" s="16"/>
      <c r="T974" s="16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7"/>
      <c r="AJ974" s="12"/>
      <c r="AK974" s="12"/>
      <c r="AL974" s="13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4"/>
      <c r="BK974" s="14"/>
      <c r="BL974" s="1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5"/>
      <c r="S975" s="16"/>
      <c r="T975" s="16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7"/>
      <c r="AJ975" s="12"/>
      <c r="AK975" s="12"/>
      <c r="AL975" s="13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4"/>
      <c r="BK975" s="14"/>
      <c r="BL975" s="1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5"/>
      <c r="S976" s="16"/>
      <c r="T976" s="16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7"/>
      <c r="AJ976" s="12"/>
      <c r="AK976" s="12"/>
      <c r="AL976" s="13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4"/>
      <c r="BK976" s="14"/>
      <c r="BL976" s="1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5"/>
      <c r="S977" s="16"/>
      <c r="T977" s="16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7"/>
      <c r="AJ977" s="12"/>
      <c r="AK977" s="12"/>
      <c r="AL977" s="13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4"/>
      <c r="BK977" s="14"/>
      <c r="BL977" s="1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5"/>
      <c r="S978" s="16"/>
      <c r="T978" s="16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7"/>
      <c r="AJ978" s="12"/>
      <c r="AK978" s="12"/>
      <c r="AL978" s="13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4"/>
      <c r="BK978" s="14"/>
      <c r="BL978" s="1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5"/>
      <c r="S979" s="16"/>
      <c r="T979" s="16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7"/>
      <c r="AJ979" s="12"/>
      <c r="AK979" s="12"/>
      <c r="AL979" s="13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4"/>
      <c r="BK979" s="14"/>
      <c r="BL979" s="1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5"/>
      <c r="S980" s="16"/>
      <c r="T980" s="16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7"/>
      <c r="AJ980" s="12"/>
      <c r="AK980" s="12"/>
      <c r="AL980" s="13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4"/>
      <c r="BK980" s="14"/>
      <c r="BL980" s="1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5"/>
      <c r="S981" s="16"/>
      <c r="T981" s="16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7"/>
      <c r="AJ981" s="12"/>
      <c r="AK981" s="12"/>
      <c r="AL981" s="13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4"/>
      <c r="BK981" s="14"/>
      <c r="BL981" s="1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5"/>
      <c r="S982" s="16"/>
      <c r="T982" s="16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7"/>
      <c r="AJ982" s="12"/>
      <c r="AK982" s="12"/>
      <c r="AL982" s="13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4"/>
      <c r="BK982" s="14"/>
      <c r="BL982" s="1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5"/>
      <c r="S983" s="16"/>
      <c r="T983" s="16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7"/>
      <c r="AJ983" s="12"/>
      <c r="AK983" s="12"/>
      <c r="AL983" s="13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4"/>
      <c r="BK983" s="14"/>
      <c r="BL983" s="1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5"/>
      <c r="S984" s="16"/>
      <c r="T984" s="16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7"/>
      <c r="AJ984" s="12"/>
      <c r="AK984" s="12"/>
      <c r="AL984" s="13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4"/>
      <c r="BK984" s="14"/>
      <c r="BL984" s="1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5"/>
      <c r="S985" s="16"/>
      <c r="T985" s="16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7"/>
      <c r="AJ985" s="12"/>
      <c r="AK985" s="12"/>
      <c r="AL985" s="13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4"/>
      <c r="BK985" s="14"/>
      <c r="BL985" s="1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5"/>
      <c r="S986" s="16"/>
      <c r="T986" s="16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7"/>
      <c r="AJ986" s="12"/>
      <c r="AK986" s="12"/>
      <c r="AL986" s="13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4"/>
      <c r="BK986" s="14"/>
      <c r="BL986" s="1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5"/>
      <c r="S987" s="16"/>
      <c r="T987" s="16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7"/>
      <c r="AJ987" s="12"/>
      <c r="AK987" s="12"/>
      <c r="AL987" s="13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4"/>
      <c r="BK987" s="14"/>
      <c r="BL987" s="1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5"/>
      <c r="S988" s="16"/>
      <c r="T988" s="16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7"/>
      <c r="AJ988" s="12"/>
      <c r="AK988" s="12"/>
      <c r="AL988" s="13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4"/>
      <c r="BK988" s="14"/>
      <c r="BL988" s="1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5"/>
      <c r="S989" s="16"/>
      <c r="T989" s="16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7"/>
      <c r="AJ989" s="12"/>
      <c r="AK989" s="12"/>
      <c r="AL989" s="13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4"/>
      <c r="BK989" s="14"/>
      <c r="BL989" s="1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5"/>
      <c r="S990" s="16"/>
      <c r="T990" s="16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7"/>
      <c r="AJ990" s="12"/>
      <c r="AK990" s="12"/>
      <c r="AL990" s="13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4"/>
      <c r="BK990" s="14"/>
      <c r="BL990" s="1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5"/>
      <c r="S991" s="16"/>
      <c r="T991" s="16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7"/>
      <c r="AJ991" s="12"/>
      <c r="AK991" s="12"/>
      <c r="AL991" s="13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4"/>
      <c r="BK991" s="14"/>
      <c r="BL991" s="1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5"/>
      <c r="S992" s="16"/>
      <c r="T992" s="16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7"/>
      <c r="AJ992" s="12"/>
      <c r="AK992" s="12"/>
      <c r="AL992" s="13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4"/>
      <c r="BK992" s="14"/>
      <c r="BL992" s="1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5"/>
      <c r="S993" s="16"/>
      <c r="T993" s="16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7"/>
      <c r="AJ993" s="12"/>
      <c r="AK993" s="12"/>
      <c r="AL993" s="13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4"/>
      <c r="BK993" s="14"/>
      <c r="BL993" s="1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5"/>
      <c r="S994" s="16"/>
      <c r="T994" s="16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7"/>
      <c r="AJ994" s="12"/>
      <c r="AK994" s="12"/>
      <c r="AL994" s="13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4"/>
      <c r="BK994" s="14"/>
      <c r="BL994" s="1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5"/>
      <c r="S995" s="16"/>
      <c r="T995" s="16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7"/>
      <c r="AJ995" s="12"/>
      <c r="AK995" s="12"/>
      <c r="AL995" s="13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4"/>
      <c r="BK995" s="14"/>
      <c r="BL995" s="1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5"/>
      <c r="S996" s="16"/>
      <c r="T996" s="16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7"/>
      <c r="AJ996" s="12"/>
      <c r="AK996" s="12"/>
      <c r="AL996" s="13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4"/>
      <c r="BK996" s="14"/>
      <c r="BL996" s="1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5"/>
      <c r="S997" s="16"/>
      <c r="T997" s="16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7"/>
      <c r="AJ997" s="12"/>
      <c r="AK997" s="12"/>
      <c r="AL997" s="13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4"/>
      <c r="BK997" s="14"/>
      <c r="BL997" s="1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5"/>
      <c r="S998" s="16"/>
      <c r="T998" s="16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7"/>
      <c r="AJ998" s="12"/>
      <c r="AK998" s="12"/>
      <c r="AL998" s="13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4"/>
      <c r="BK998" s="14"/>
      <c r="BL998" s="1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5"/>
      <c r="S999" s="16"/>
      <c r="T999" s="16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7"/>
      <c r="AJ999" s="12"/>
      <c r="AK999" s="12"/>
      <c r="AL999" s="13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4"/>
      <c r="BK999" s="14"/>
      <c r="BL999" s="1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5"/>
      <c r="S1000" s="16"/>
      <c r="T1000" s="16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7"/>
      <c r="AJ1000" s="12"/>
      <c r="AK1000" s="12"/>
      <c r="AL1000" s="13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4"/>
      <c r="BK1000" s="14"/>
      <c r="BL1000" s="1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5"/>
      <c r="S1001" s="16"/>
      <c r="T1001" s="16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7"/>
      <c r="AJ1001" s="12"/>
      <c r="AK1001" s="12"/>
      <c r="AL1001" s="13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4"/>
      <c r="BK1001" s="14"/>
      <c r="BL1001" s="14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5"/>
      <c r="S1002" s="16"/>
      <c r="T1002" s="16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7"/>
      <c r="AJ1002" s="12"/>
      <c r="AK1002" s="12"/>
      <c r="AL1002" s="13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4"/>
      <c r="BK1002" s="14"/>
      <c r="BL1002" s="14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5"/>
      <c r="S1003" s="16"/>
      <c r="T1003" s="16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7"/>
      <c r="AJ1003" s="12"/>
      <c r="AK1003" s="12"/>
      <c r="AL1003" s="13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4"/>
      <c r="BK1003" s="14"/>
      <c r="BL1003" s="14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5"/>
      <c r="S1004" s="16"/>
      <c r="T1004" s="16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7"/>
      <c r="AJ1004" s="12"/>
      <c r="AK1004" s="12"/>
      <c r="AL1004" s="13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4"/>
      <c r="BK1004" s="14"/>
      <c r="BL1004" s="14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5"/>
      <c r="S1005" s="16"/>
      <c r="T1005" s="16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7"/>
      <c r="AJ1005" s="12"/>
      <c r="AK1005" s="12"/>
      <c r="AL1005" s="13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4"/>
      <c r="BK1005" s="14"/>
      <c r="BL1005" s="14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5"/>
      <c r="S1006" s="16"/>
      <c r="T1006" s="16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7"/>
      <c r="AJ1006" s="12"/>
      <c r="AK1006" s="12"/>
      <c r="AL1006" s="13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4"/>
      <c r="BK1006" s="14"/>
      <c r="BL1006" s="14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5"/>
      <c r="S1007" s="16"/>
      <c r="T1007" s="16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4"/>
      <c r="BK1007" s="14"/>
      <c r="BL1007" s="14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5"/>
      <c r="S1008" s="16"/>
      <c r="T1008" s="16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7"/>
      <c r="AJ1008" s="12"/>
      <c r="AK1008" s="12"/>
      <c r="AL1008" s="13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4"/>
      <c r="BK1008" s="14"/>
      <c r="BL1008" s="14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5"/>
      <c r="S1009" s="16"/>
      <c r="T1009" s="16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7"/>
      <c r="AJ1009" s="12"/>
      <c r="AK1009" s="12"/>
      <c r="AL1009" s="13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4"/>
      <c r="BK1009" s="14"/>
      <c r="BL1009" s="14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5"/>
      <c r="S1010" s="16"/>
      <c r="T1010" s="16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7"/>
      <c r="AJ1010" s="12"/>
      <c r="AK1010" s="12"/>
      <c r="AL1010" s="13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4"/>
      <c r="BK1010" s="14"/>
      <c r="BL1010" s="14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5"/>
      <c r="S1011" s="16"/>
      <c r="T1011" s="16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7"/>
      <c r="AJ1011" s="12"/>
      <c r="AK1011" s="12"/>
      <c r="AL1011" s="13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4"/>
      <c r="BK1011" s="14"/>
      <c r="BL1011" s="14"/>
    </row>
  </sheetData>
  <mergeCells count="6">
    <mergeCell ref="A1:C1"/>
    <mergeCell ref="D3:T3"/>
    <mergeCell ref="R5:S5"/>
    <mergeCell ref="T5:U5"/>
    <mergeCell ref="AJ5:AK5"/>
    <mergeCell ref="AL5:AM5"/>
  </mergeCells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101" t="s">
        <v>249</v>
      </c>
      <c r="D1" s="102"/>
      <c r="E1" s="102"/>
      <c r="F1" s="112"/>
      <c r="I1" s="118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20"/>
    </row>
    <row r="2" ht="8.25" customHeight="1">
      <c r="F2" s="112"/>
      <c r="I2" s="12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22"/>
    </row>
    <row r="3" ht="15.75" customHeight="1">
      <c r="C3" s="103" t="s">
        <v>1</v>
      </c>
      <c r="D3" s="104" t="s">
        <v>250</v>
      </c>
      <c r="E3" s="103"/>
      <c r="F3" s="112"/>
      <c r="I3" s="12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22"/>
    </row>
    <row r="4" ht="15.75" customHeight="1">
      <c r="C4" s="103" t="s">
        <v>3</v>
      </c>
      <c r="D4" s="123">
        <v>44620.0</v>
      </c>
      <c r="F4" s="112"/>
      <c r="I4" s="104" t="s">
        <v>309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22"/>
    </row>
    <row r="5" ht="21.75" customHeight="1">
      <c r="F5" s="112"/>
      <c r="I5" s="121" t="s">
        <v>5</v>
      </c>
      <c r="J5" s="14"/>
      <c r="K5" s="14" t="s">
        <v>6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22" t="s">
        <v>7</v>
      </c>
    </row>
    <row r="6" ht="15.75" customHeight="1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124" t="s">
        <v>310</v>
      </c>
      <c r="G6" s="124" t="s">
        <v>311</v>
      </c>
      <c r="H6" s="125" t="s">
        <v>45</v>
      </c>
      <c r="I6" s="36" t="s">
        <v>28</v>
      </c>
      <c r="J6" s="36" t="s">
        <v>29</v>
      </c>
      <c r="K6" s="35" t="s">
        <v>252</v>
      </c>
      <c r="L6" s="35" t="s">
        <v>253</v>
      </c>
      <c r="M6" s="35" t="s">
        <v>254</v>
      </c>
      <c r="N6" s="35" t="s">
        <v>255</v>
      </c>
      <c r="O6" s="35" t="s">
        <v>256</v>
      </c>
      <c r="P6" s="35" t="s">
        <v>257</v>
      </c>
      <c r="Q6" s="35" t="s">
        <v>258</v>
      </c>
      <c r="R6" s="35" t="s">
        <v>259</v>
      </c>
      <c r="S6" s="35" t="s">
        <v>260</v>
      </c>
      <c r="T6" s="35" t="s">
        <v>261</v>
      </c>
      <c r="U6" s="35" t="s">
        <v>262</v>
      </c>
      <c r="V6" s="35" t="s">
        <v>263</v>
      </c>
      <c r="W6" s="35" t="s">
        <v>264</v>
      </c>
      <c r="X6" s="35" t="s">
        <v>265</v>
      </c>
      <c r="Y6" s="35" t="s">
        <v>266</v>
      </c>
      <c r="Z6" s="35" t="s">
        <v>267</v>
      </c>
      <c r="AA6" s="35" t="s">
        <v>276</v>
      </c>
      <c r="AB6" s="35" t="s">
        <v>277</v>
      </c>
      <c r="AC6" s="35" t="s">
        <v>278</v>
      </c>
      <c r="AD6" s="35" t="s">
        <v>279</v>
      </c>
      <c r="AE6" s="35" t="s">
        <v>280</v>
      </c>
      <c r="AF6" s="35" t="s">
        <v>281</v>
      </c>
      <c r="AG6" s="35" t="s">
        <v>282</v>
      </c>
      <c r="AH6" s="35" t="s">
        <v>283</v>
      </c>
      <c r="AI6" s="35" t="s">
        <v>284</v>
      </c>
      <c r="AJ6" s="35" t="s">
        <v>285</v>
      </c>
      <c r="AK6" s="35" t="s">
        <v>286</v>
      </c>
      <c r="AL6" s="35" t="s">
        <v>287</v>
      </c>
      <c r="AM6" s="35" t="s">
        <v>288</v>
      </c>
      <c r="AN6" s="35" t="s">
        <v>289</v>
      </c>
      <c r="AO6" s="35" t="s">
        <v>290</v>
      </c>
      <c r="AP6" s="35" t="s">
        <v>291</v>
      </c>
      <c r="AQ6" s="35" t="s">
        <v>292</v>
      </c>
      <c r="AR6" s="35" t="s">
        <v>293</v>
      </c>
      <c r="AS6" s="35" t="s">
        <v>294</v>
      </c>
      <c r="AT6" s="35" t="s">
        <v>295</v>
      </c>
      <c r="AU6" s="35" t="s">
        <v>296</v>
      </c>
      <c r="AV6" s="35" t="s">
        <v>297</v>
      </c>
      <c r="AW6" s="35" t="s">
        <v>298</v>
      </c>
      <c r="AX6" s="35" t="s">
        <v>299</v>
      </c>
      <c r="AY6" s="35" t="s">
        <v>300</v>
      </c>
      <c r="AZ6" s="35" t="s">
        <v>301</v>
      </c>
      <c r="BA6" s="35" t="s">
        <v>302</v>
      </c>
      <c r="BB6" s="36" t="s">
        <v>45</v>
      </c>
    </row>
    <row r="7" ht="17.25" customHeight="1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F7" s="126">
        <v>0.7</v>
      </c>
      <c r="G7" s="126">
        <v>0.5</v>
      </c>
      <c r="I7" s="12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C7" s="22" t="str">
        <f t="shared" ref="AC7:AC112" si="1">average(K7,N7,Q7,T7,W7,Z7,AA7)</f>
        <v>#DIV/0!</v>
      </c>
      <c r="AD7" s="22">
        <v>2.47</v>
      </c>
      <c r="AE7" s="22">
        <v>0.134</v>
      </c>
      <c r="AF7" s="22">
        <v>0.089</v>
      </c>
      <c r="AG7" s="22">
        <v>2.5</v>
      </c>
      <c r="AH7" s="22">
        <v>0.118</v>
      </c>
      <c r="AI7" s="22">
        <v>0.072</v>
      </c>
      <c r="AJ7" s="22">
        <v>1.96</v>
      </c>
      <c r="AK7" s="22">
        <v>0.106</v>
      </c>
      <c r="AL7" s="22">
        <v>0.065</v>
      </c>
      <c r="AM7" s="22">
        <v>2.04</v>
      </c>
      <c r="AN7" s="22">
        <v>0.134</v>
      </c>
      <c r="AO7" s="22">
        <v>0.083</v>
      </c>
      <c r="AP7" s="22">
        <v>2.4</v>
      </c>
      <c r="AQ7" s="22">
        <v>0.114</v>
      </c>
      <c r="AR7" s="22">
        <v>0.072</v>
      </c>
      <c r="AS7" s="14"/>
      <c r="AT7" s="14"/>
      <c r="AU7" s="14"/>
      <c r="AV7" s="14"/>
      <c r="AW7" s="14"/>
      <c r="AX7" s="14"/>
      <c r="AY7" s="14"/>
      <c r="AZ7" s="14"/>
      <c r="BA7" s="14">
        <f t="shared" ref="BA7:BA112" si="2">average(AD7,AG7,AJ7,AM7,AP7,AS7,AV7)</f>
        <v>2.274</v>
      </c>
      <c r="BB7" s="122"/>
    </row>
    <row r="8" ht="18.75" customHeight="1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F8" s="126">
        <v>0.6</v>
      </c>
      <c r="G8" s="126">
        <v>0.4</v>
      </c>
      <c r="I8" s="12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C8" s="22" t="str">
        <f t="shared" si="1"/>
        <v>#DIV/0!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 t="str">
        <f t="shared" si="2"/>
        <v>#DIV/0!</v>
      </c>
      <c r="BB8" s="122"/>
    </row>
    <row r="9" ht="17.25" customHeight="1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126">
        <v>0.2</v>
      </c>
      <c r="G9" s="126">
        <v>0.4</v>
      </c>
      <c r="H9" s="14" t="s">
        <v>312</v>
      </c>
      <c r="I9" s="12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C9" s="22" t="str">
        <f t="shared" si="1"/>
        <v>#DIV/0!</v>
      </c>
      <c r="AD9" s="22">
        <v>1.78</v>
      </c>
      <c r="AE9" s="22">
        <v>0.263</v>
      </c>
      <c r="AF9" s="22">
        <v>0.155</v>
      </c>
      <c r="AG9" s="22">
        <v>0.962</v>
      </c>
      <c r="AH9" s="22">
        <v>0.238</v>
      </c>
      <c r="AI9" s="22">
        <v>0.14</v>
      </c>
      <c r="AJ9" s="22">
        <v>2.64</v>
      </c>
      <c r="AK9" s="22">
        <v>0.258</v>
      </c>
      <c r="AL9" s="22">
        <v>0.156</v>
      </c>
      <c r="AM9" s="22">
        <v>1.92</v>
      </c>
      <c r="AN9" s="22">
        <v>0.189</v>
      </c>
      <c r="AO9" s="22">
        <v>0.115</v>
      </c>
      <c r="AP9" s="22">
        <v>1.54</v>
      </c>
      <c r="AQ9" s="22">
        <v>0.27</v>
      </c>
      <c r="AR9" s="22">
        <v>0.165</v>
      </c>
      <c r="AS9" s="14"/>
      <c r="AT9" s="14"/>
      <c r="AU9" s="14"/>
      <c r="AV9" s="14"/>
      <c r="AW9" s="14"/>
      <c r="AX9" s="14"/>
      <c r="AY9" s="14"/>
      <c r="AZ9" s="14"/>
      <c r="BA9" s="14">
        <f t="shared" si="2"/>
        <v>1.7684</v>
      </c>
      <c r="BB9" s="122"/>
    </row>
    <row r="10" ht="17.25" customHeight="1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126">
        <v>0.5</v>
      </c>
      <c r="G10" s="126">
        <v>0.6</v>
      </c>
      <c r="I10" s="127">
        <v>2.0</v>
      </c>
      <c r="J10" s="22">
        <v>2.0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C10" s="22" t="str">
        <f t="shared" si="1"/>
        <v>#DIV/0!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 t="str">
        <f t="shared" si="2"/>
        <v>#DIV/0!</v>
      </c>
      <c r="BB10" s="122"/>
    </row>
    <row r="11" ht="17.25" customHeight="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F11" s="126">
        <v>0.7</v>
      </c>
      <c r="G11" s="126">
        <v>0.1</v>
      </c>
      <c r="H11" s="14" t="s">
        <v>313</v>
      </c>
      <c r="I11" s="1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C11" s="22" t="str">
        <f t="shared" si="1"/>
        <v>#DIV/0!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 t="str">
        <f t="shared" si="2"/>
        <v>#DIV/0!</v>
      </c>
      <c r="BB11" s="122"/>
    </row>
    <row r="12" ht="17.25" customHeight="1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126">
        <v>0.1</v>
      </c>
      <c r="G12" s="126">
        <v>0.05</v>
      </c>
      <c r="I12" s="127">
        <v>3.0</v>
      </c>
      <c r="J12" s="22">
        <v>2.0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C12" s="22" t="str">
        <f t="shared" si="1"/>
        <v>#DIV/0!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 t="str">
        <f t="shared" si="2"/>
        <v>#DIV/0!</v>
      </c>
      <c r="BB12" s="122"/>
    </row>
    <row r="13" ht="17.25" customHeight="1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126">
        <v>0.2</v>
      </c>
      <c r="G13" s="126">
        <v>0.1</v>
      </c>
      <c r="H13" s="14" t="s">
        <v>314</v>
      </c>
      <c r="I13" s="127">
        <v>2.0</v>
      </c>
      <c r="J13" s="22">
        <v>4.0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C13" s="22" t="str">
        <f t="shared" si="1"/>
        <v>#DIV/0!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 t="str">
        <f t="shared" si="2"/>
        <v>#DIV/0!</v>
      </c>
      <c r="BB13" s="122"/>
    </row>
    <row r="14" ht="17.25" customHeight="1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F14" s="126">
        <v>0.8</v>
      </c>
      <c r="G14" s="126">
        <v>0.3</v>
      </c>
      <c r="H14" s="14" t="s">
        <v>315</v>
      </c>
      <c r="I14" s="12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C14" s="22" t="str">
        <f t="shared" si="1"/>
        <v>#DIV/0!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 t="str">
        <f t="shared" si="2"/>
        <v>#DIV/0!</v>
      </c>
      <c r="BB14" s="122"/>
    </row>
    <row r="15" ht="17.25" customHeight="1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126">
        <v>0.8</v>
      </c>
      <c r="G15" s="126">
        <v>0.3</v>
      </c>
      <c r="I15" s="127">
        <v>0.0</v>
      </c>
      <c r="J15" s="22">
        <v>3.0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C15" s="22" t="str">
        <f t="shared" si="1"/>
        <v>#DIV/0!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 t="str">
        <f t="shared" si="2"/>
        <v>#DIV/0!</v>
      </c>
      <c r="BB15" s="122"/>
    </row>
    <row r="16" ht="17.25" customHeight="1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126">
        <v>0.8</v>
      </c>
      <c r="G16" s="126">
        <v>0.1</v>
      </c>
      <c r="H16" s="103"/>
      <c r="I16" s="127">
        <v>0.0</v>
      </c>
      <c r="J16" s="22">
        <v>3.0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22" t="str">
        <f t="shared" si="1"/>
        <v>#DIV/0!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 t="str">
        <f t="shared" si="2"/>
        <v>#DIV/0!</v>
      </c>
      <c r="BB16" s="122"/>
    </row>
    <row r="17" ht="17.25" customHeight="1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F17" s="126">
        <v>0.6</v>
      </c>
      <c r="G17" s="126">
        <v>0.1</v>
      </c>
      <c r="H17" s="14" t="s">
        <v>313</v>
      </c>
      <c r="I17" s="1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C17" s="22" t="str">
        <f t="shared" si="1"/>
        <v>#DIV/0!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 t="str">
        <f t="shared" si="2"/>
        <v>#DIV/0!</v>
      </c>
      <c r="BB17" s="122"/>
    </row>
    <row r="18" ht="17.25" customHeight="1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126">
        <v>0.7</v>
      </c>
      <c r="G18" s="126">
        <v>0.4</v>
      </c>
      <c r="I18" s="127">
        <v>0.0</v>
      </c>
      <c r="J18" s="22">
        <v>5.0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C18" s="22" t="str">
        <f t="shared" si="1"/>
        <v>#DIV/0!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 t="str">
        <f t="shared" si="2"/>
        <v>#DIV/0!</v>
      </c>
      <c r="BB18" s="122"/>
    </row>
    <row r="19" ht="17.25" customHeight="1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126">
        <v>0.8</v>
      </c>
      <c r="G19" s="126">
        <v>0.1</v>
      </c>
      <c r="H19" s="103"/>
      <c r="I19" s="127">
        <v>1.0</v>
      </c>
      <c r="J19" s="22">
        <v>2.0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C19" s="22" t="str">
        <f t="shared" si="1"/>
        <v>#DIV/0!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 t="str">
        <f t="shared" si="2"/>
        <v>#DIV/0!</v>
      </c>
      <c r="BB19" s="122"/>
    </row>
    <row r="20" ht="17.25" customHeight="1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F20" s="126">
        <v>0.7</v>
      </c>
      <c r="G20" s="126">
        <v>0.4</v>
      </c>
      <c r="H20" s="14" t="s">
        <v>313</v>
      </c>
      <c r="I20" s="12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C20" s="22" t="str">
        <f t="shared" si="1"/>
        <v>#DIV/0!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tr">
        <f t="shared" si="2"/>
        <v>#DIV/0!</v>
      </c>
      <c r="BB20" s="122"/>
    </row>
    <row r="21" ht="17.25" customHeight="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126">
        <v>0.7</v>
      </c>
      <c r="G21" s="126">
        <v>0.3</v>
      </c>
      <c r="H21" s="14" t="s">
        <v>316</v>
      </c>
      <c r="I21" s="127">
        <v>1.0</v>
      </c>
      <c r="J21" s="22">
        <v>6.0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C21" s="22" t="str">
        <f t="shared" si="1"/>
        <v>#DIV/0!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 t="str">
        <f t="shared" si="2"/>
        <v>#DIV/0!</v>
      </c>
      <c r="BB21" s="122"/>
    </row>
    <row r="22" ht="17.25" customHeight="1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126">
        <v>0.8</v>
      </c>
      <c r="G22" s="126">
        <v>0.3</v>
      </c>
      <c r="I22" s="127">
        <v>2.0</v>
      </c>
      <c r="J22" s="22">
        <v>2.0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C22" s="22" t="str">
        <f t="shared" si="1"/>
        <v>#DIV/0!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 t="str">
        <f t="shared" si="2"/>
        <v>#DIV/0!</v>
      </c>
      <c r="BB22" s="122"/>
    </row>
    <row r="23" ht="17.25" customHeight="1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126">
        <v>0.6</v>
      </c>
      <c r="G23" s="126">
        <v>0.4</v>
      </c>
      <c r="I23" s="127">
        <v>2.0</v>
      </c>
      <c r="J23" s="22">
        <v>1.0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C23" s="22" t="str">
        <f t="shared" si="1"/>
        <v>#DIV/0!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 t="str">
        <f t="shared" si="2"/>
        <v>#DIV/0!</v>
      </c>
      <c r="BB23" s="122"/>
    </row>
    <row r="24" ht="17.25" customHeight="1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126">
        <v>0.8</v>
      </c>
      <c r="G24" s="126">
        <v>0.3</v>
      </c>
      <c r="I24" s="127">
        <v>1.0</v>
      </c>
      <c r="J24" s="22">
        <v>3.0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C24" s="22" t="str">
        <f t="shared" si="1"/>
        <v>#DIV/0!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 t="str">
        <f t="shared" si="2"/>
        <v>#DIV/0!</v>
      </c>
      <c r="BB24" s="122"/>
    </row>
    <row r="25" ht="17.25" customHeight="1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126">
        <v>0.7</v>
      </c>
      <c r="G25" s="126">
        <v>0.3</v>
      </c>
      <c r="I25" s="127">
        <v>1.0</v>
      </c>
      <c r="J25" s="22">
        <v>2.0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C25" s="22" t="str">
        <f t="shared" si="1"/>
        <v>#DIV/0!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 t="str">
        <f t="shared" si="2"/>
        <v>#DIV/0!</v>
      </c>
      <c r="BB25" s="122"/>
    </row>
    <row r="26" ht="17.25" customHeight="1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F26" s="126">
        <v>0.7</v>
      </c>
      <c r="G26" s="126">
        <v>0.4</v>
      </c>
      <c r="H26" s="14" t="s">
        <v>313</v>
      </c>
      <c r="I26" s="12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C26" s="22" t="str">
        <f t="shared" si="1"/>
        <v>#DIV/0!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 t="str">
        <f t="shared" si="2"/>
        <v>#DIV/0!</v>
      </c>
      <c r="BB26" s="122"/>
    </row>
    <row r="27" ht="17.25" customHeight="1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126">
        <v>0.5</v>
      </c>
      <c r="G27" s="126">
        <v>0.3</v>
      </c>
      <c r="I27" s="127">
        <v>1.0</v>
      </c>
      <c r="J27" s="22">
        <v>1.0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C27" s="22" t="str">
        <f t="shared" si="1"/>
        <v>#DIV/0!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 t="str">
        <f t="shared" si="2"/>
        <v>#DIV/0!</v>
      </c>
      <c r="BB27" s="122"/>
    </row>
    <row r="28" ht="17.25" customHeight="1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F28" s="126">
        <v>0.7</v>
      </c>
      <c r="G28" s="126">
        <v>0.4</v>
      </c>
      <c r="H28" s="14" t="s">
        <v>313</v>
      </c>
      <c r="I28" s="12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C28" s="22" t="str">
        <f t="shared" si="1"/>
        <v>#DIV/0!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 t="str">
        <f t="shared" si="2"/>
        <v>#DIV/0!</v>
      </c>
      <c r="BB28" s="122"/>
    </row>
    <row r="29" ht="17.25" customHeight="1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F29" s="126">
        <v>0.05</v>
      </c>
      <c r="G29" s="126">
        <v>0.1</v>
      </c>
      <c r="H29" s="14" t="s">
        <v>313</v>
      </c>
      <c r="I29" s="12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C29" s="22" t="str">
        <f t="shared" si="1"/>
        <v>#DIV/0!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tr">
        <f t="shared" si="2"/>
        <v>#DIV/0!</v>
      </c>
      <c r="BB29" s="122"/>
    </row>
    <row r="30" ht="17.25" customHeight="1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126">
        <v>0.5</v>
      </c>
      <c r="G30" s="126">
        <v>0.3</v>
      </c>
      <c r="I30" s="127">
        <v>2.0</v>
      </c>
      <c r="J30" s="22">
        <v>0.0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C30" s="22" t="str">
        <f t="shared" si="1"/>
        <v>#DIV/0!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 t="str">
        <f t="shared" si="2"/>
        <v>#DIV/0!</v>
      </c>
      <c r="BB30" s="122"/>
    </row>
    <row r="31" ht="17.25" customHeight="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F31" s="126"/>
      <c r="G31" s="126"/>
      <c r="I31" s="121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C31" s="22" t="str">
        <f t="shared" si="1"/>
        <v>#DIV/0!</v>
      </c>
      <c r="AD31" s="22">
        <v>2.19</v>
      </c>
      <c r="AE31" s="22">
        <v>0.209</v>
      </c>
      <c r="AF31" s="22">
        <v>0.124</v>
      </c>
      <c r="AG31" s="22">
        <v>1.73</v>
      </c>
      <c r="AH31" s="22">
        <v>0.193</v>
      </c>
      <c r="AI31" s="22">
        <v>0.114</v>
      </c>
      <c r="AJ31" s="14">
        <f>average(1.4,2)</f>
        <v>1.7</v>
      </c>
      <c r="AK31" s="22">
        <v>0.165</v>
      </c>
      <c r="AL31" s="22">
        <v>0.098</v>
      </c>
      <c r="AM31" s="22">
        <v>1.65</v>
      </c>
      <c r="AN31" s="22">
        <v>0.156</v>
      </c>
      <c r="AO31" s="22">
        <v>0.091</v>
      </c>
      <c r="AP31" s="14">
        <f>average(1.71,1.45)</f>
        <v>1.58</v>
      </c>
      <c r="AQ31" s="22">
        <v>0.312</v>
      </c>
      <c r="AR31" s="22">
        <v>0.184</v>
      </c>
      <c r="AS31" s="22">
        <v>1.3</v>
      </c>
      <c r="AT31" s="14"/>
      <c r="AU31" s="14"/>
      <c r="AV31" s="14"/>
      <c r="AW31" s="14"/>
      <c r="AX31" s="14"/>
      <c r="AY31" s="14"/>
      <c r="AZ31" s="14"/>
      <c r="BA31" s="14">
        <f t="shared" si="2"/>
        <v>1.691666667</v>
      </c>
      <c r="BB31" s="23" t="s">
        <v>64</v>
      </c>
    </row>
    <row r="32" ht="17.25" customHeight="1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F32" s="126"/>
      <c r="G32" s="126"/>
      <c r="I32" s="12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C32" s="22" t="str">
        <f t="shared" si="1"/>
        <v>#DIV/0!</v>
      </c>
      <c r="AD32" s="22">
        <v>2.18</v>
      </c>
      <c r="AE32" s="22">
        <v>0.321</v>
      </c>
      <c r="AF32" s="22">
        <v>0.19</v>
      </c>
      <c r="AG32" s="22">
        <v>2.71</v>
      </c>
      <c r="AH32" s="22">
        <v>0.233</v>
      </c>
      <c r="AI32" s="22">
        <v>0.141</v>
      </c>
      <c r="AJ32" s="22">
        <v>1.7</v>
      </c>
      <c r="AK32" s="22">
        <v>0.254</v>
      </c>
      <c r="AL32" s="22">
        <v>0.157</v>
      </c>
      <c r="AM32" s="22">
        <v>1.64</v>
      </c>
      <c r="AN32" s="22">
        <v>0.294</v>
      </c>
      <c r="AO32" s="22">
        <v>0.168</v>
      </c>
      <c r="AP32" s="22">
        <v>2.51</v>
      </c>
      <c r="AQ32" s="22">
        <v>0.176</v>
      </c>
      <c r="AR32" s="22">
        <v>0.105</v>
      </c>
      <c r="AS32" s="22">
        <v>2.1</v>
      </c>
      <c r="AT32" s="14"/>
      <c r="AU32" s="14"/>
      <c r="AV32" s="14"/>
      <c r="AW32" s="14"/>
      <c r="AX32" s="14"/>
      <c r="AY32" s="14"/>
      <c r="AZ32" s="14"/>
      <c r="BA32" s="14">
        <f t="shared" si="2"/>
        <v>2.14</v>
      </c>
      <c r="BB32" s="23" t="s">
        <v>65</v>
      </c>
    </row>
    <row r="33" ht="17.25" customHeight="1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126"/>
      <c r="G33" s="126"/>
      <c r="I33" s="127">
        <v>0.0</v>
      </c>
      <c r="J33" s="22">
        <v>6.0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C33" s="22" t="str">
        <f t="shared" si="1"/>
        <v>#DIV/0!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 t="str">
        <f t="shared" si="2"/>
        <v>#DIV/0!</v>
      </c>
      <c r="BB33" s="23" t="s">
        <v>65</v>
      </c>
    </row>
    <row r="34" ht="17.25" customHeight="1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126"/>
      <c r="G34" s="126"/>
      <c r="I34" s="127">
        <v>0.0</v>
      </c>
      <c r="J34" s="22">
        <v>7.0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C34" s="22" t="str">
        <f t="shared" si="1"/>
        <v>#DIV/0!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 t="str">
        <f t="shared" si="2"/>
        <v>#DIV/0!</v>
      </c>
      <c r="BB34" s="23" t="s">
        <v>65</v>
      </c>
    </row>
    <row r="35" ht="17.25" customHeight="1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F35" s="126"/>
      <c r="G35" s="126"/>
      <c r="I35" s="121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C35" s="22" t="str">
        <f t="shared" si="1"/>
        <v>#DIV/0!</v>
      </c>
      <c r="AD35" s="22">
        <v>1.66</v>
      </c>
      <c r="AE35" s="22">
        <v>0.217</v>
      </c>
      <c r="AF35" s="22">
        <v>0.131</v>
      </c>
      <c r="AG35" s="22">
        <v>1.65</v>
      </c>
      <c r="AH35" s="22">
        <v>0.16</v>
      </c>
      <c r="AI35" s="22">
        <v>0.097</v>
      </c>
      <c r="AJ35" s="22">
        <v>1.88</v>
      </c>
      <c r="AK35" s="22">
        <v>0.174</v>
      </c>
      <c r="AL35" s="22">
        <v>0.105</v>
      </c>
      <c r="AM35" s="22">
        <v>2.27</v>
      </c>
      <c r="AN35" s="22">
        <v>0.221</v>
      </c>
      <c r="AO35" s="22">
        <v>0.131</v>
      </c>
      <c r="AP35" s="14"/>
      <c r="AQ35" s="22">
        <v>0.236</v>
      </c>
      <c r="AR35" s="22">
        <v>0.145</v>
      </c>
      <c r="AS35" s="14"/>
      <c r="AT35" s="14"/>
      <c r="AU35" s="14"/>
      <c r="AV35" s="14"/>
      <c r="AW35" s="14"/>
      <c r="AX35" s="14"/>
      <c r="AY35" s="14"/>
      <c r="AZ35" s="14"/>
      <c r="BA35" s="14">
        <f t="shared" si="2"/>
        <v>1.865</v>
      </c>
      <c r="BB35" s="122"/>
    </row>
    <row r="36" ht="17.25" customHeight="1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126">
        <v>0.5</v>
      </c>
      <c r="G36" s="126">
        <v>0.5</v>
      </c>
      <c r="I36" s="12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C36" s="22" t="str">
        <f t="shared" si="1"/>
        <v>#DIV/0!</v>
      </c>
      <c r="AD36" s="14"/>
      <c r="AE36" s="22"/>
      <c r="AF36" s="22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 t="str">
        <f t="shared" si="2"/>
        <v>#DIV/0!</v>
      </c>
      <c r="BB36" s="122"/>
    </row>
    <row r="37" ht="17.25" customHeight="1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126">
        <v>0.6</v>
      </c>
      <c r="G37" s="126">
        <v>0.3</v>
      </c>
      <c r="I37" s="121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C37" s="22" t="str">
        <f t="shared" si="1"/>
        <v>#DIV/0!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 t="str">
        <f t="shared" si="2"/>
        <v>#DIV/0!</v>
      </c>
      <c r="BB37" s="122"/>
    </row>
    <row r="38" ht="17.25" customHeight="1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126">
        <v>0.3</v>
      </c>
      <c r="G38" s="126">
        <v>0.4</v>
      </c>
      <c r="I38" s="12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C38" s="22" t="str">
        <f t="shared" si="1"/>
        <v>#DIV/0!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tr">
        <f t="shared" si="2"/>
        <v>#DIV/0!</v>
      </c>
      <c r="BB38" s="122"/>
    </row>
    <row r="39" ht="17.25" customHeight="1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126">
        <v>0.7</v>
      </c>
      <c r="G39" s="126">
        <v>0.3</v>
      </c>
      <c r="H39" s="103"/>
      <c r="I39" s="121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C39" s="22" t="str">
        <f t="shared" si="1"/>
        <v>#DIV/0!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 t="str">
        <f t="shared" si="2"/>
        <v>#DIV/0!</v>
      </c>
      <c r="BB39" s="122"/>
    </row>
    <row r="40" ht="17.25" customHeight="1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126">
        <v>0.5</v>
      </c>
      <c r="G40" s="126">
        <v>0.4</v>
      </c>
      <c r="I40" s="12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C40" s="22" t="str">
        <f t="shared" si="1"/>
        <v>#DIV/0!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 t="str">
        <f t="shared" si="2"/>
        <v>#DIV/0!</v>
      </c>
      <c r="BB40" s="122"/>
    </row>
    <row r="41" ht="17.25" customHeight="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126">
        <v>0.5</v>
      </c>
      <c r="G41" s="126">
        <v>0.5</v>
      </c>
      <c r="H41" s="103" t="s">
        <v>317</v>
      </c>
      <c r="I41" s="121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C41" s="22" t="str">
        <f t="shared" si="1"/>
        <v>#DIV/0!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 t="str">
        <f t="shared" si="2"/>
        <v>#DIV/0!</v>
      </c>
      <c r="BB41" s="122"/>
    </row>
    <row r="42" ht="17.25" customHeight="1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126">
        <v>0.5</v>
      </c>
      <c r="G42" s="126">
        <v>0.6</v>
      </c>
      <c r="I42" s="127">
        <v>1.0</v>
      </c>
      <c r="J42" s="22">
        <v>2.0</v>
      </c>
      <c r="K42" s="22">
        <v>1.2</v>
      </c>
      <c r="L42" s="22">
        <v>0.146</v>
      </c>
      <c r="M42" s="22">
        <v>0.078</v>
      </c>
      <c r="N42" s="22">
        <v>1.1</v>
      </c>
      <c r="O42" s="22">
        <v>0.076</v>
      </c>
      <c r="P42" s="22">
        <v>0.043</v>
      </c>
      <c r="Q42" s="22">
        <v>1.1</v>
      </c>
      <c r="R42" s="22">
        <v>0.086</v>
      </c>
      <c r="S42" s="22">
        <v>0.047</v>
      </c>
      <c r="T42" s="14"/>
      <c r="U42" s="22">
        <v>0.072</v>
      </c>
      <c r="V42" s="22">
        <v>0.04</v>
      </c>
      <c r="W42" s="14"/>
      <c r="X42" s="22">
        <v>0.115</v>
      </c>
      <c r="Y42" s="22">
        <v>0.065</v>
      </c>
      <c r="Z42" s="14"/>
      <c r="AC42" s="22">
        <f t="shared" si="1"/>
        <v>1.133333333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 t="str">
        <f t="shared" si="2"/>
        <v>#DIV/0!</v>
      </c>
      <c r="BB42" s="23" t="s">
        <v>69</v>
      </c>
    </row>
    <row r="43" ht="17.25" customHeight="1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F43" s="128">
        <v>0.3</v>
      </c>
      <c r="G43" s="128">
        <v>0.2</v>
      </c>
      <c r="H43" s="129" t="s">
        <v>318</v>
      </c>
      <c r="I43" s="12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C43" s="22" t="str">
        <f t="shared" si="1"/>
        <v>#DIV/0!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 t="str">
        <f t="shared" si="2"/>
        <v>#DIV/0!</v>
      </c>
      <c r="BB43" s="122"/>
    </row>
    <row r="44" ht="17.25" customHeight="1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126">
        <v>0.4</v>
      </c>
      <c r="G44" s="126">
        <v>0.5</v>
      </c>
      <c r="I44" s="121"/>
      <c r="J44" s="14"/>
      <c r="K44" s="22">
        <v>1.47</v>
      </c>
      <c r="L44" s="22"/>
      <c r="M44" s="22"/>
      <c r="N44" s="22">
        <v>1.65</v>
      </c>
      <c r="O44" s="22"/>
      <c r="P44" s="22"/>
      <c r="Q44" s="22">
        <v>1.47</v>
      </c>
      <c r="R44" s="22"/>
      <c r="S44" s="22"/>
      <c r="T44" s="22">
        <v>1.14</v>
      </c>
      <c r="U44" s="22"/>
      <c r="V44" s="22"/>
      <c r="W44" s="22">
        <v>1.34</v>
      </c>
      <c r="X44" s="14"/>
      <c r="Y44" s="14"/>
      <c r="Z44" s="14"/>
      <c r="AC44" s="22">
        <f t="shared" si="1"/>
        <v>1.414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 t="str">
        <f t="shared" si="2"/>
        <v>#DIV/0!</v>
      </c>
      <c r="BB44" s="122"/>
    </row>
    <row r="45" ht="17.25" customHeight="1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F45" s="128">
        <v>0.7</v>
      </c>
      <c r="G45" s="128">
        <v>0.4</v>
      </c>
      <c r="H45" s="110" t="s">
        <v>319</v>
      </c>
      <c r="I45" s="121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C45" s="22" t="str">
        <f t="shared" si="1"/>
        <v>#DIV/0!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 t="str">
        <f t="shared" si="2"/>
        <v>#DIV/0!</v>
      </c>
      <c r="BB45" s="122"/>
    </row>
    <row r="46" ht="17.25" customHeight="1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126">
        <v>0.2</v>
      </c>
      <c r="G46" s="126">
        <v>0.2</v>
      </c>
      <c r="H46" s="14" t="s">
        <v>320</v>
      </c>
      <c r="I46" s="121"/>
      <c r="J46" s="14"/>
      <c r="K46" s="22">
        <v>0.564</v>
      </c>
      <c r="L46" s="22"/>
      <c r="M46" s="22"/>
      <c r="N46" s="22">
        <v>0.62</v>
      </c>
      <c r="O46" s="22"/>
      <c r="P46" s="22"/>
      <c r="Q46" s="22">
        <v>0.45</v>
      </c>
      <c r="R46" s="22"/>
      <c r="S46" s="22"/>
      <c r="T46" s="22">
        <v>0.5</v>
      </c>
      <c r="U46" s="22"/>
      <c r="V46" s="22"/>
      <c r="W46" s="22"/>
      <c r="X46" s="22"/>
      <c r="Y46" s="22"/>
      <c r="Z46" s="22"/>
      <c r="AC46" s="22">
        <f t="shared" si="1"/>
        <v>0.5335</v>
      </c>
      <c r="AD46" s="22">
        <v>1.88</v>
      </c>
      <c r="AE46" s="22">
        <v>0.185</v>
      </c>
      <c r="AF46" s="22">
        <v>0.106</v>
      </c>
      <c r="AG46" s="22">
        <v>1.83</v>
      </c>
      <c r="AH46" s="22">
        <v>0.211</v>
      </c>
      <c r="AI46" s="22">
        <v>0.122</v>
      </c>
      <c r="AJ46" s="22">
        <v>1.04</v>
      </c>
      <c r="AK46" s="22">
        <v>0.206</v>
      </c>
      <c r="AL46" s="22">
        <v>0.117</v>
      </c>
      <c r="AM46" s="22">
        <v>1.77</v>
      </c>
      <c r="AN46" s="22">
        <v>0.201</v>
      </c>
      <c r="AO46" s="22">
        <v>0.118</v>
      </c>
      <c r="AP46" s="14"/>
      <c r="AQ46" s="22">
        <v>0.206</v>
      </c>
      <c r="AR46" s="22">
        <v>0.119</v>
      </c>
      <c r="AS46" s="14"/>
      <c r="AT46" s="14"/>
      <c r="AU46" s="14"/>
      <c r="AV46" s="14"/>
      <c r="AW46" s="14"/>
      <c r="AX46" s="14"/>
      <c r="AY46" s="14"/>
      <c r="AZ46" s="14"/>
      <c r="BA46" s="14">
        <f t="shared" si="2"/>
        <v>1.63</v>
      </c>
      <c r="BB46" s="122"/>
    </row>
    <row r="47" ht="17.25" customHeight="1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126">
        <v>0.7</v>
      </c>
      <c r="G47" s="126">
        <v>0.4</v>
      </c>
      <c r="I47" s="127">
        <v>3.0</v>
      </c>
      <c r="J47" s="22">
        <v>0.0</v>
      </c>
      <c r="K47" s="14">
        <f>average(0.96,1.3)</f>
        <v>1.13</v>
      </c>
      <c r="L47" s="14"/>
      <c r="M47" s="14"/>
      <c r="N47" s="14">
        <f>average(0.78,1.09)</f>
        <v>0.935</v>
      </c>
      <c r="O47" s="22"/>
      <c r="P47" s="22"/>
      <c r="Q47" s="22">
        <v>1.03</v>
      </c>
      <c r="R47" s="22"/>
      <c r="S47" s="22"/>
      <c r="T47" s="22">
        <v>0.94</v>
      </c>
      <c r="U47" s="14"/>
      <c r="V47" s="14"/>
      <c r="W47" s="14"/>
      <c r="X47" s="14"/>
      <c r="Y47" s="14"/>
      <c r="Z47" s="14"/>
      <c r="AC47" s="22">
        <f t="shared" si="1"/>
        <v>1.00875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 t="str">
        <f t="shared" si="2"/>
        <v>#DIV/0!</v>
      </c>
      <c r="BB47" s="23" t="s">
        <v>71</v>
      </c>
    </row>
    <row r="48" ht="17.25" customHeight="1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126">
        <v>0.8</v>
      </c>
      <c r="G48" s="126">
        <v>0.2</v>
      </c>
      <c r="I48" s="127">
        <v>2.0</v>
      </c>
      <c r="J48" s="22">
        <v>0.0</v>
      </c>
      <c r="K48" s="14">
        <f>average(1.12,1.8)</f>
        <v>1.46</v>
      </c>
      <c r="L48" s="14"/>
      <c r="M48" s="14"/>
      <c r="N48" s="14">
        <f>average(1.19,1.6)</f>
        <v>1.395</v>
      </c>
      <c r="O48" s="22"/>
      <c r="P48" s="22"/>
      <c r="Q48" s="22">
        <v>3.1</v>
      </c>
      <c r="R48" s="14"/>
      <c r="S48" s="14"/>
      <c r="T48" s="14">
        <f>average(1.03,1.9)</f>
        <v>1.465</v>
      </c>
      <c r="U48" s="14"/>
      <c r="V48" s="14"/>
      <c r="W48" s="14">
        <f>average(1.35,1.67)</f>
        <v>1.51</v>
      </c>
      <c r="X48" s="14"/>
      <c r="Y48" s="14"/>
      <c r="Z48" s="14"/>
      <c r="AC48" s="22">
        <f t="shared" si="1"/>
        <v>1.786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 t="str">
        <f t="shared" si="2"/>
        <v>#DIV/0!</v>
      </c>
      <c r="BB48" s="23" t="s">
        <v>72</v>
      </c>
    </row>
    <row r="49" ht="17.25" customHeight="1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126">
        <v>0.7</v>
      </c>
      <c r="G49" s="126">
        <v>0.2</v>
      </c>
      <c r="H49" s="14" t="s">
        <v>321</v>
      </c>
      <c r="I49" s="127">
        <v>1.0</v>
      </c>
      <c r="J49" s="22">
        <v>0.0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C49" s="22" t="str">
        <f t="shared" si="1"/>
        <v>#DIV/0!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 t="str">
        <f t="shared" si="2"/>
        <v>#DIV/0!</v>
      </c>
      <c r="BB49" s="122"/>
    </row>
    <row r="50" ht="17.25" customHeight="1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126">
        <v>0.7</v>
      </c>
      <c r="G50" s="126">
        <v>0.2</v>
      </c>
      <c r="I50" s="127">
        <v>1.0</v>
      </c>
      <c r="J50" s="22">
        <v>0.0</v>
      </c>
      <c r="K50" s="22">
        <v>1.64</v>
      </c>
      <c r="L50" s="22"/>
      <c r="M50" s="22"/>
      <c r="N50" s="22">
        <v>1.6</v>
      </c>
      <c r="O50" s="22"/>
      <c r="P50" s="22"/>
      <c r="Q50" s="22">
        <v>2.2</v>
      </c>
      <c r="R50" s="22"/>
      <c r="S50" s="22"/>
      <c r="T50" s="22">
        <v>1.85</v>
      </c>
      <c r="U50" s="22"/>
      <c r="V50" s="22"/>
      <c r="W50" s="22">
        <v>2.16</v>
      </c>
      <c r="X50" s="14"/>
      <c r="Y50" s="14"/>
      <c r="Z50" s="14"/>
      <c r="AC50" s="22">
        <f t="shared" si="1"/>
        <v>1.89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 t="str">
        <f t="shared" si="2"/>
        <v>#DIV/0!</v>
      </c>
      <c r="BB50" s="23" t="s">
        <v>73</v>
      </c>
    </row>
    <row r="51" ht="17.25" customHeight="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126">
        <v>0.2</v>
      </c>
      <c r="G51" s="103" t="s">
        <v>322</v>
      </c>
      <c r="H51" s="103"/>
      <c r="I51" s="127">
        <v>1.0</v>
      </c>
      <c r="J51" s="22">
        <v>0.0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C51" s="22" t="str">
        <f t="shared" si="1"/>
        <v>#DIV/0!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 t="str">
        <f t="shared" si="2"/>
        <v>#DIV/0!</v>
      </c>
      <c r="BB51" s="122"/>
    </row>
    <row r="52" ht="17.25" customHeight="1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126">
        <v>0.05</v>
      </c>
      <c r="G52" s="103" t="s">
        <v>322</v>
      </c>
      <c r="H52" s="103"/>
      <c r="I52" s="127">
        <v>1.0</v>
      </c>
      <c r="J52" s="22">
        <v>0.0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C52" s="22" t="str">
        <f t="shared" si="1"/>
        <v>#DIV/0!</v>
      </c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 t="str">
        <f t="shared" si="2"/>
        <v>#DIV/0!</v>
      </c>
      <c r="BB52" s="122"/>
    </row>
    <row r="53" ht="15.75" customHeight="1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126"/>
      <c r="G53" s="126"/>
      <c r="I53" s="127">
        <v>1.0</v>
      </c>
      <c r="J53" s="22">
        <v>0.0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C53" s="22" t="str">
        <f t="shared" si="1"/>
        <v>#DIV/0!</v>
      </c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 t="str">
        <f t="shared" si="2"/>
        <v>#DIV/0!</v>
      </c>
      <c r="BB53" s="23" t="s">
        <v>76</v>
      </c>
    </row>
    <row r="54" ht="15.75" customHeight="1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126">
        <v>0.5</v>
      </c>
      <c r="G54" s="126">
        <v>0.5</v>
      </c>
      <c r="I54" s="12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C54" s="22" t="str">
        <f t="shared" si="1"/>
        <v>#DIV/0!</v>
      </c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 t="str">
        <f t="shared" si="2"/>
        <v>#DIV/0!</v>
      </c>
      <c r="BB54" s="122"/>
    </row>
    <row r="55" ht="17.25" customHeight="1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126">
        <v>0.7</v>
      </c>
      <c r="G55" s="126">
        <v>0.5</v>
      </c>
      <c r="I55" s="121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C55" s="22" t="str">
        <f t="shared" si="1"/>
        <v>#DIV/0!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 t="str">
        <f t="shared" si="2"/>
        <v>#DIV/0!</v>
      </c>
      <c r="BB55" s="122"/>
    </row>
    <row r="56" ht="17.25" customHeight="1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126">
        <v>0.8</v>
      </c>
      <c r="G56" s="126">
        <v>0.5</v>
      </c>
      <c r="I56" s="12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C56" s="22" t="str">
        <f t="shared" si="1"/>
        <v>#DIV/0!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 t="str">
        <f t="shared" si="2"/>
        <v>#DIV/0!</v>
      </c>
      <c r="BB56" s="122"/>
    </row>
    <row r="57" ht="17.25" customHeight="1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126">
        <v>0.6</v>
      </c>
      <c r="G57" s="126">
        <v>0.4</v>
      </c>
      <c r="I57" s="121"/>
      <c r="J57" s="14"/>
      <c r="K57" s="22">
        <v>1.14</v>
      </c>
      <c r="L57" s="22">
        <v>0.14</v>
      </c>
      <c r="M57" s="22">
        <v>0.075</v>
      </c>
      <c r="N57" s="14">
        <f>average(1.02,1.55)</f>
        <v>1.285</v>
      </c>
      <c r="O57" s="22">
        <v>0.144</v>
      </c>
      <c r="P57" s="22">
        <v>0.083</v>
      </c>
      <c r="Q57" s="14">
        <f>average(1.57,1.44)</f>
        <v>1.505</v>
      </c>
      <c r="R57" s="22">
        <v>0.096</v>
      </c>
      <c r="S57" s="22">
        <v>0.059</v>
      </c>
      <c r="T57" s="22">
        <v>1.12</v>
      </c>
      <c r="U57" s="22">
        <v>0.127</v>
      </c>
      <c r="V57" s="22">
        <v>0.07</v>
      </c>
      <c r="W57" s="14"/>
      <c r="X57" s="14"/>
      <c r="Y57" s="14"/>
      <c r="Z57" s="14"/>
      <c r="AC57" s="22">
        <f t="shared" si="1"/>
        <v>1.2625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 t="str">
        <f t="shared" si="2"/>
        <v>#DIV/0!</v>
      </c>
      <c r="BB57" s="122"/>
    </row>
    <row r="58" ht="17.25" customHeight="1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126">
        <v>0.9</v>
      </c>
      <c r="G58" s="126">
        <v>0.5</v>
      </c>
      <c r="I58" s="12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C58" s="22" t="str">
        <f t="shared" si="1"/>
        <v>#DIV/0!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 t="str">
        <f t="shared" si="2"/>
        <v>#DIV/0!</v>
      </c>
      <c r="BB58" s="122"/>
    </row>
    <row r="59" ht="17.25" customHeight="1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126">
        <v>0.2</v>
      </c>
      <c r="G59" s="126">
        <v>0.6</v>
      </c>
      <c r="I59" s="121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C59" s="22" t="str">
        <f t="shared" si="1"/>
        <v>#DIV/0!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 t="str">
        <f t="shared" si="2"/>
        <v>#DIV/0!</v>
      </c>
      <c r="BB59" s="122"/>
    </row>
    <row r="60" ht="17.25" customHeight="1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126">
        <v>0.6</v>
      </c>
      <c r="G60" s="126">
        <v>0.6</v>
      </c>
      <c r="I60" s="12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C60" s="22" t="str">
        <f t="shared" si="1"/>
        <v>#DIV/0!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 t="str">
        <f t="shared" si="2"/>
        <v>#DIV/0!</v>
      </c>
      <c r="BB60" s="122"/>
    </row>
    <row r="61" ht="17.25" customHeight="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126">
        <v>0.7</v>
      </c>
      <c r="G61" s="126">
        <v>0.5</v>
      </c>
      <c r="I61" s="121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C61" s="22" t="str">
        <f t="shared" si="1"/>
        <v>#DIV/0!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 t="str">
        <f t="shared" si="2"/>
        <v>#DIV/0!</v>
      </c>
      <c r="BB61" s="122"/>
    </row>
    <row r="62" ht="17.25" customHeight="1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126">
        <v>0.6</v>
      </c>
      <c r="G62" s="126">
        <v>0.6</v>
      </c>
      <c r="I62" s="12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C62" s="22" t="str">
        <f t="shared" si="1"/>
        <v>#DIV/0!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 t="str">
        <f t="shared" si="2"/>
        <v>#DIV/0!</v>
      </c>
      <c r="BB62" s="122"/>
    </row>
    <row r="63" ht="17.25" customHeight="1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126">
        <v>0.7</v>
      </c>
      <c r="G63" s="126">
        <v>0.5</v>
      </c>
      <c r="I63" s="121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C63" s="22" t="str">
        <f t="shared" si="1"/>
        <v>#DIV/0!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 t="str">
        <f t="shared" si="2"/>
        <v>#DIV/0!</v>
      </c>
      <c r="BB63" s="122"/>
    </row>
    <row r="64" ht="17.25" customHeight="1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126">
        <v>0.1</v>
      </c>
      <c r="G64" s="126">
        <v>0.1</v>
      </c>
      <c r="I64" s="12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C64" s="22" t="str">
        <f t="shared" si="1"/>
        <v>#DIV/0!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 t="str">
        <f t="shared" si="2"/>
        <v>#DIV/0!</v>
      </c>
      <c r="BB64" s="122"/>
    </row>
    <row r="65" ht="17.25" customHeight="1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126">
        <v>0.6</v>
      </c>
      <c r="G65" s="126">
        <v>0.5</v>
      </c>
      <c r="I65" s="121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C65" s="22" t="str">
        <f t="shared" si="1"/>
        <v>#DIV/0!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 t="str">
        <f t="shared" si="2"/>
        <v>#DIV/0!</v>
      </c>
      <c r="BB65" s="122"/>
    </row>
    <row r="66" ht="17.25" customHeight="1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126">
        <v>0.05</v>
      </c>
      <c r="G66" s="126">
        <v>0.05</v>
      </c>
      <c r="I66" s="121"/>
      <c r="J66" s="14"/>
      <c r="K66" s="22">
        <v>0.62</v>
      </c>
      <c r="L66" s="22"/>
      <c r="M66" s="22"/>
      <c r="N66" s="22">
        <v>0.63</v>
      </c>
      <c r="O66" s="22"/>
      <c r="P66" s="22"/>
      <c r="Q66" s="22">
        <v>0.63</v>
      </c>
      <c r="R66" s="14"/>
      <c r="S66" s="14"/>
      <c r="T66" s="14"/>
      <c r="U66" s="14"/>
      <c r="V66" s="14"/>
      <c r="W66" s="14"/>
      <c r="X66" s="14"/>
      <c r="Y66" s="14"/>
      <c r="Z66" s="14"/>
      <c r="AC66" s="22">
        <f t="shared" si="1"/>
        <v>0.6266666667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 t="str">
        <f t="shared" si="2"/>
        <v>#DIV/0!</v>
      </c>
      <c r="BB66" s="122"/>
    </row>
    <row r="67" ht="17.25" customHeight="1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126">
        <v>0.2</v>
      </c>
      <c r="G67" s="126">
        <v>0.6</v>
      </c>
      <c r="I67" s="121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C67" s="22" t="str">
        <f t="shared" si="1"/>
        <v>#DIV/0!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 t="str">
        <f t="shared" si="2"/>
        <v>#DIV/0!</v>
      </c>
      <c r="BB67" s="122"/>
    </row>
    <row r="68" ht="17.25" customHeight="1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126">
        <v>0.6</v>
      </c>
      <c r="G68" s="126">
        <v>0.4</v>
      </c>
      <c r="I68" s="12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C68" s="22" t="str">
        <f t="shared" si="1"/>
        <v>#DIV/0!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 t="str">
        <f t="shared" si="2"/>
        <v>#DIV/0!</v>
      </c>
      <c r="BB68" s="122"/>
    </row>
    <row r="69" ht="17.25" customHeight="1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126">
        <v>0.6</v>
      </c>
      <c r="G69" s="126">
        <v>0.5</v>
      </c>
      <c r="H69" s="103" t="s">
        <v>323</v>
      </c>
      <c r="I69" s="121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C69" s="22" t="str">
        <f t="shared" si="1"/>
        <v>#DIV/0!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 t="str">
        <f t="shared" si="2"/>
        <v>#DIV/0!</v>
      </c>
      <c r="BB69" s="122"/>
    </row>
    <row r="70" ht="17.25" customHeight="1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126">
        <v>0.6</v>
      </c>
      <c r="G70" s="126">
        <v>0.6</v>
      </c>
      <c r="H70" s="103" t="s">
        <v>324</v>
      </c>
      <c r="I70" s="12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C70" s="22" t="str">
        <f t="shared" si="1"/>
        <v>#DIV/0!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 t="str">
        <f t="shared" si="2"/>
        <v>#DIV/0!</v>
      </c>
      <c r="BB70" s="122"/>
    </row>
    <row r="71" ht="17.25" customHeight="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126">
        <v>0.2</v>
      </c>
      <c r="G71" s="126">
        <v>0.1</v>
      </c>
      <c r="H71" s="103" t="s">
        <v>325</v>
      </c>
      <c r="I71" s="121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C71" s="22" t="str">
        <f t="shared" si="1"/>
        <v>#DIV/0!</v>
      </c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 t="str">
        <f t="shared" si="2"/>
        <v>#DIV/0!</v>
      </c>
      <c r="BB71" s="122"/>
    </row>
    <row r="72" ht="17.25" customHeight="1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126"/>
      <c r="G72" s="126"/>
      <c r="H72" s="103" t="s">
        <v>326</v>
      </c>
      <c r="I72" s="12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C72" s="22" t="str">
        <f t="shared" si="1"/>
        <v>#DIV/0!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 t="str">
        <f t="shared" si="2"/>
        <v>#DIV/0!</v>
      </c>
      <c r="BB72" s="122"/>
    </row>
    <row r="73" ht="17.25" customHeight="1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126">
        <v>0.4</v>
      </c>
      <c r="G73" s="126">
        <v>0.2</v>
      </c>
      <c r="I73" s="121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C73" s="22" t="str">
        <f t="shared" si="1"/>
        <v>#DIV/0!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 t="str">
        <f t="shared" si="2"/>
        <v>#DIV/0!</v>
      </c>
      <c r="BB73" s="122"/>
    </row>
    <row r="74" ht="17.25" customHeight="1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126"/>
      <c r="G74" s="126"/>
      <c r="H74" s="103" t="s">
        <v>327</v>
      </c>
      <c r="I74" s="12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C74" s="22" t="str">
        <f t="shared" si="1"/>
        <v>#DIV/0!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 t="str">
        <f t="shared" si="2"/>
        <v>#DIV/0!</v>
      </c>
      <c r="BB74" s="122"/>
    </row>
    <row r="75" ht="15.75" customHeight="1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126">
        <v>0.1</v>
      </c>
      <c r="G75" s="126">
        <v>0.5</v>
      </c>
      <c r="I75" s="121"/>
      <c r="J75" s="14"/>
      <c r="K75" s="22">
        <v>0.45</v>
      </c>
      <c r="L75" s="22"/>
      <c r="M75" s="22"/>
      <c r="N75" s="22">
        <v>0.48</v>
      </c>
      <c r="O75" s="22"/>
      <c r="P75" s="22"/>
      <c r="Q75" s="22">
        <v>0.56</v>
      </c>
      <c r="R75" s="14"/>
      <c r="S75" s="14"/>
      <c r="T75" s="14"/>
      <c r="U75" s="14"/>
      <c r="V75" s="14"/>
      <c r="W75" s="14"/>
      <c r="X75" s="14"/>
      <c r="Y75" s="14"/>
      <c r="Z75" s="14"/>
      <c r="AC75" s="22">
        <f t="shared" si="1"/>
        <v>0.4966666667</v>
      </c>
      <c r="AD75" s="22">
        <v>2.51</v>
      </c>
      <c r="AE75" s="22">
        <v>0.14</v>
      </c>
      <c r="AF75" s="22">
        <v>0.082</v>
      </c>
      <c r="AG75" s="22">
        <v>2.3</v>
      </c>
      <c r="AH75" s="22">
        <v>0.127</v>
      </c>
      <c r="AI75" s="22">
        <v>0.076</v>
      </c>
      <c r="AJ75" s="22">
        <v>2.7</v>
      </c>
      <c r="AK75" s="22">
        <v>0.168</v>
      </c>
      <c r="AL75" s="22">
        <v>0.1</v>
      </c>
      <c r="AM75" s="22">
        <v>2.83</v>
      </c>
      <c r="AN75" s="22">
        <v>0.166</v>
      </c>
      <c r="AO75" s="22">
        <v>0.096</v>
      </c>
      <c r="AP75" s="22">
        <v>2.72</v>
      </c>
      <c r="AQ75" s="22">
        <v>0.113</v>
      </c>
      <c r="AR75" s="22">
        <v>0.064</v>
      </c>
      <c r="AS75" s="14"/>
      <c r="AT75" s="14"/>
      <c r="AU75" s="14"/>
      <c r="AV75" s="14"/>
      <c r="AW75" s="14"/>
      <c r="AX75" s="14"/>
      <c r="AY75" s="14"/>
      <c r="AZ75" s="14"/>
      <c r="BA75" s="14">
        <f t="shared" si="2"/>
        <v>2.612</v>
      </c>
      <c r="BB75" s="122"/>
    </row>
    <row r="76" ht="15.75" customHeight="1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126">
        <v>0.7</v>
      </c>
      <c r="G76" s="126">
        <v>0.4</v>
      </c>
      <c r="H76" s="103" t="s">
        <v>328</v>
      </c>
      <c r="I76" s="127">
        <v>1.0</v>
      </c>
      <c r="J76" s="22">
        <v>1.0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C76" s="22" t="str">
        <f t="shared" si="1"/>
        <v>#DIV/0!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 t="str">
        <f t="shared" si="2"/>
        <v>#DIV/0!</v>
      </c>
      <c r="BB76" s="122"/>
    </row>
    <row r="77" ht="15.75" customHeight="1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126">
        <v>0.7</v>
      </c>
      <c r="G77" s="126">
        <v>0.6</v>
      </c>
      <c r="I77" s="127">
        <v>1.0</v>
      </c>
      <c r="J77" s="22">
        <v>0.0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C77" s="22" t="str">
        <f t="shared" si="1"/>
        <v>#DIV/0!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 t="str">
        <f t="shared" si="2"/>
        <v>#DIV/0!</v>
      </c>
      <c r="BB77" s="122"/>
    </row>
    <row r="78" ht="15.75" customHeight="1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126">
        <v>0.5</v>
      </c>
      <c r="G78" s="126">
        <v>0.5</v>
      </c>
      <c r="H78" s="14" t="s">
        <v>329</v>
      </c>
      <c r="I78" s="127">
        <v>1.0</v>
      </c>
      <c r="J78" s="22">
        <v>0.0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C78" s="22" t="str">
        <f t="shared" si="1"/>
        <v>#DIV/0!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 t="str">
        <f t="shared" si="2"/>
        <v>#DIV/0!</v>
      </c>
      <c r="BB78" s="122"/>
    </row>
    <row r="79" ht="15.75" customHeight="1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126">
        <v>0.5</v>
      </c>
      <c r="G79" s="126">
        <v>0.5</v>
      </c>
      <c r="H79" s="14" t="s">
        <v>330</v>
      </c>
      <c r="I79" s="127">
        <v>0.0</v>
      </c>
      <c r="J79" s="22">
        <v>0.0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C79" s="22" t="str">
        <f t="shared" si="1"/>
        <v>#DIV/0!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 t="str">
        <f t="shared" si="2"/>
        <v>#DIV/0!</v>
      </c>
      <c r="BB79" s="122"/>
    </row>
    <row r="80" ht="15.75" customHeight="1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126">
        <v>0.4</v>
      </c>
      <c r="G80" s="126">
        <v>0.5</v>
      </c>
      <c r="H80" s="14" t="s">
        <v>331</v>
      </c>
      <c r="I80" s="127">
        <v>1.0</v>
      </c>
      <c r="J80" s="22">
        <v>0.0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C80" s="22" t="str">
        <f t="shared" si="1"/>
        <v>#DIV/0!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 t="str">
        <f t="shared" si="2"/>
        <v>#DIV/0!</v>
      </c>
      <c r="BB80" s="122"/>
    </row>
    <row r="81" ht="15.75" customHeight="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F81" s="126"/>
      <c r="G81" s="126"/>
      <c r="H81" s="103"/>
      <c r="I81" s="127">
        <v>2.0</v>
      </c>
      <c r="J81" s="22">
        <v>2.0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C81" s="22" t="str">
        <f t="shared" si="1"/>
        <v>#DIV/0!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 t="str">
        <f t="shared" si="2"/>
        <v>#DIV/0!</v>
      </c>
      <c r="BB81" s="122"/>
    </row>
    <row r="82" ht="15.75" customHeight="1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126">
        <v>0.05</v>
      </c>
      <c r="G82" s="126">
        <v>0.05</v>
      </c>
      <c r="H82" s="103" t="s">
        <v>332</v>
      </c>
      <c r="I82" s="121"/>
      <c r="J82" s="14"/>
      <c r="K82" s="22">
        <v>1.12</v>
      </c>
      <c r="L82" s="22"/>
      <c r="M82" s="22"/>
      <c r="N82" s="22">
        <v>0.74</v>
      </c>
      <c r="O82" s="22"/>
      <c r="P82" s="22"/>
      <c r="Q82" s="22">
        <v>1.23</v>
      </c>
      <c r="R82" s="22"/>
      <c r="S82" s="22"/>
      <c r="T82" s="22">
        <v>0.81</v>
      </c>
      <c r="U82" s="14"/>
      <c r="V82" s="14"/>
      <c r="W82" s="14"/>
      <c r="X82" s="14"/>
      <c r="Y82" s="14"/>
      <c r="Z82" s="14"/>
      <c r="AC82" s="22">
        <f t="shared" si="1"/>
        <v>0.975</v>
      </c>
      <c r="AD82" s="22">
        <v>1.7</v>
      </c>
      <c r="AE82" s="22">
        <v>0.292</v>
      </c>
      <c r="AF82" s="22">
        <v>0.173</v>
      </c>
      <c r="AG82" s="22">
        <v>1.42</v>
      </c>
      <c r="AH82" s="22">
        <v>0.327</v>
      </c>
      <c r="AI82" s="22">
        <v>0.185</v>
      </c>
      <c r="AJ82" s="22">
        <v>1.7</v>
      </c>
      <c r="AK82" s="22">
        <v>0.38</v>
      </c>
      <c r="AL82" s="22">
        <v>0.227</v>
      </c>
      <c r="AM82" s="22">
        <v>2.25</v>
      </c>
      <c r="AN82" s="22">
        <v>0.289</v>
      </c>
      <c r="AO82" s="22">
        <v>0.164</v>
      </c>
      <c r="AP82" s="22">
        <v>1.96</v>
      </c>
      <c r="AQ82" s="22">
        <v>0.294</v>
      </c>
      <c r="AR82" s="22">
        <v>0.168</v>
      </c>
      <c r="AS82" s="14"/>
      <c r="AT82" s="14"/>
      <c r="AU82" s="14"/>
      <c r="AV82" s="14"/>
      <c r="AW82" s="14"/>
      <c r="AX82" s="14"/>
      <c r="AY82" s="14"/>
      <c r="AZ82" s="14"/>
      <c r="BA82" s="14">
        <f t="shared" si="2"/>
        <v>1.806</v>
      </c>
      <c r="BB82" s="122"/>
    </row>
    <row r="83" ht="15.75" customHeight="1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126">
        <v>0.4</v>
      </c>
      <c r="G83" s="126">
        <v>0.5</v>
      </c>
      <c r="I83" s="127">
        <v>0.0</v>
      </c>
      <c r="J83" s="22">
        <v>1.0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C83" s="22" t="str">
        <f t="shared" si="1"/>
        <v>#DIV/0!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 t="str">
        <f t="shared" si="2"/>
        <v>#DIV/0!</v>
      </c>
      <c r="BB83" s="122"/>
    </row>
    <row r="84" ht="15.75" customHeight="1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126">
        <v>0.7</v>
      </c>
      <c r="G84" s="126">
        <v>0.6</v>
      </c>
      <c r="I84" s="127">
        <v>0.0</v>
      </c>
      <c r="J84" s="22">
        <v>0.0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C84" s="22" t="str">
        <f t="shared" si="1"/>
        <v>#DIV/0!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 t="str">
        <f t="shared" si="2"/>
        <v>#DIV/0!</v>
      </c>
      <c r="BB84" s="122"/>
    </row>
    <row r="85" ht="17.25" customHeight="1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126">
        <v>0.4</v>
      </c>
      <c r="G85" s="126">
        <v>0.4</v>
      </c>
      <c r="I85" s="127">
        <v>0.0</v>
      </c>
      <c r="J85" s="22">
        <v>0.0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C85" s="22" t="str">
        <f t="shared" si="1"/>
        <v>#DIV/0!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 t="str">
        <f t="shared" si="2"/>
        <v>#DIV/0!</v>
      </c>
      <c r="BB85" s="122"/>
    </row>
    <row r="86" ht="17.25" customHeight="1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126">
        <v>0.5</v>
      </c>
      <c r="G86" s="126">
        <v>0.4</v>
      </c>
      <c r="H86" s="14" t="s">
        <v>333</v>
      </c>
      <c r="I86" s="127">
        <v>0.0</v>
      </c>
      <c r="J86" s="22">
        <v>1.0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C86" s="22" t="str">
        <f t="shared" si="1"/>
        <v>#DIV/0!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 t="str">
        <f t="shared" si="2"/>
        <v>#DIV/0!</v>
      </c>
      <c r="BB86" s="122"/>
    </row>
    <row r="87" ht="17.25" customHeight="1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126">
        <v>0.5</v>
      </c>
      <c r="G87" s="126">
        <v>0.4</v>
      </c>
      <c r="H87" s="103" t="s">
        <v>334</v>
      </c>
      <c r="I87" s="127">
        <v>1.0</v>
      </c>
      <c r="J87" s="22">
        <v>0.0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C87" s="22" t="str">
        <f t="shared" si="1"/>
        <v>#DIV/0!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 t="str">
        <f t="shared" si="2"/>
        <v>#DIV/0!</v>
      </c>
      <c r="BB87" s="122"/>
    </row>
    <row r="88" ht="17.25" customHeight="1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126">
        <v>0.6</v>
      </c>
      <c r="G88" s="126">
        <v>0.5</v>
      </c>
      <c r="I88" s="127">
        <v>0.0</v>
      </c>
      <c r="J88" s="22">
        <v>0.0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C88" s="22" t="str">
        <f t="shared" si="1"/>
        <v>#DIV/0!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 t="str">
        <f t="shared" si="2"/>
        <v>#DIV/0!</v>
      </c>
      <c r="BB88" s="122"/>
    </row>
    <row r="89" ht="17.25" customHeight="1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126">
        <v>0.7</v>
      </c>
      <c r="G89" s="126">
        <v>0.7</v>
      </c>
      <c r="I89" s="127">
        <v>3.0</v>
      </c>
      <c r="J89" s="22">
        <v>0.0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C89" s="22" t="str">
        <f t="shared" si="1"/>
        <v>#DIV/0!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 t="str">
        <f t="shared" si="2"/>
        <v>#DIV/0!</v>
      </c>
      <c r="BB89" s="122"/>
    </row>
    <row r="90" ht="17.25" customHeight="1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126">
        <v>0.7</v>
      </c>
      <c r="G90" s="126">
        <v>0.5</v>
      </c>
      <c r="I90" s="127">
        <v>0.0</v>
      </c>
      <c r="J90" s="22">
        <v>0.0</v>
      </c>
      <c r="K90" s="22">
        <v>1.05</v>
      </c>
      <c r="L90" s="22"/>
      <c r="M90" s="22"/>
      <c r="N90" s="22">
        <v>1.21</v>
      </c>
      <c r="O90" s="22"/>
      <c r="P90" s="22"/>
      <c r="Q90" s="22">
        <v>1.46</v>
      </c>
      <c r="R90" s="22"/>
      <c r="S90" s="22"/>
      <c r="T90" s="22">
        <v>1.92</v>
      </c>
      <c r="U90" s="22"/>
      <c r="V90" s="22"/>
      <c r="W90" s="22">
        <v>2.1</v>
      </c>
      <c r="X90" s="14"/>
      <c r="Y90" s="14"/>
      <c r="Z90" s="14"/>
      <c r="AC90" s="22">
        <f t="shared" si="1"/>
        <v>1.548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 t="str">
        <f t="shared" si="2"/>
        <v>#DIV/0!</v>
      </c>
      <c r="BB90" s="23" t="s">
        <v>80</v>
      </c>
    </row>
    <row r="91" ht="15.75" customHeight="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126"/>
      <c r="G91" s="126"/>
      <c r="I91" s="127">
        <v>1.0</v>
      </c>
      <c r="J91" s="22">
        <v>0.0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C91" s="22" t="str">
        <f t="shared" si="1"/>
        <v>#DIV/0!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 t="str">
        <f t="shared" si="2"/>
        <v>#DIV/0!</v>
      </c>
      <c r="BB91" s="23" t="s">
        <v>80</v>
      </c>
    </row>
    <row r="92" ht="15.75" customHeight="1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126"/>
      <c r="G92" s="126"/>
      <c r="I92" s="127">
        <v>0.0</v>
      </c>
      <c r="J92" s="22">
        <v>0.0</v>
      </c>
      <c r="K92" s="22">
        <v>1.26</v>
      </c>
      <c r="L92" s="22"/>
      <c r="M92" s="22"/>
      <c r="N92" s="22">
        <v>2.2</v>
      </c>
      <c r="O92" s="22"/>
      <c r="P92" s="22"/>
      <c r="Q92" s="22">
        <v>1.89</v>
      </c>
      <c r="R92" s="22"/>
      <c r="S92" s="22"/>
      <c r="T92" s="22">
        <v>1.09</v>
      </c>
      <c r="U92" s="22"/>
      <c r="V92" s="22"/>
      <c r="W92" s="22">
        <v>1.77</v>
      </c>
      <c r="X92" s="14"/>
      <c r="Y92" s="14"/>
      <c r="Z92" s="14"/>
      <c r="AC92" s="22">
        <f t="shared" si="1"/>
        <v>1.642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 t="str">
        <f t="shared" si="2"/>
        <v>#DIV/0!</v>
      </c>
      <c r="BB92" s="23" t="s">
        <v>80</v>
      </c>
    </row>
    <row r="93" ht="15.75" customHeight="1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126"/>
      <c r="G93" s="126"/>
      <c r="I93" s="127">
        <v>1.0</v>
      </c>
      <c r="J93" s="22">
        <v>0.0</v>
      </c>
      <c r="K93" s="22">
        <v>1.31</v>
      </c>
      <c r="L93" s="22"/>
      <c r="M93" s="22"/>
      <c r="N93" s="22">
        <v>1.37</v>
      </c>
      <c r="O93" s="22"/>
      <c r="P93" s="22"/>
      <c r="Q93" s="22">
        <v>1.57</v>
      </c>
      <c r="R93" s="22"/>
      <c r="S93" s="22"/>
      <c r="T93" s="22">
        <v>1.18</v>
      </c>
      <c r="U93" s="22"/>
      <c r="V93" s="22"/>
      <c r="W93" s="22">
        <v>1.08</v>
      </c>
      <c r="X93" s="14"/>
      <c r="Y93" s="14"/>
      <c r="Z93" s="14"/>
      <c r="AC93" s="22">
        <f t="shared" si="1"/>
        <v>1.302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 t="str">
        <f t="shared" si="2"/>
        <v>#DIV/0!</v>
      </c>
      <c r="BB93" s="23" t="s">
        <v>84</v>
      </c>
    </row>
    <row r="94" ht="15.75" customHeight="1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126"/>
      <c r="G94" s="126"/>
      <c r="I94" s="127">
        <v>0.0</v>
      </c>
      <c r="J94" s="22">
        <v>1.0</v>
      </c>
      <c r="K94" s="22">
        <v>1.24</v>
      </c>
      <c r="L94" s="22"/>
      <c r="M94" s="22"/>
      <c r="N94" s="22">
        <v>1.35</v>
      </c>
      <c r="O94" s="22"/>
      <c r="P94" s="22"/>
      <c r="Q94" s="22">
        <v>1.46</v>
      </c>
      <c r="R94" s="22"/>
      <c r="S94" s="22"/>
      <c r="T94" s="22">
        <v>1.56</v>
      </c>
      <c r="U94" s="22"/>
      <c r="V94" s="22"/>
      <c r="W94" s="22">
        <v>1.25</v>
      </c>
      <c r="X94" s="22"/>
      <c r="Y94" s="22"/>
      <c r="Z94" s="22">
        <v>1.0</v>
      </c>
      <c r="AC94" s="22">
        <f t="shared" si="1"/>
        <v>1.31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 t="str">
        <f t="shared" si="2"/>
        <v>#DIV/0!</v>
      </c>
      <c r="BB94" s="23" t="s">
        <v>86</v>
      </c>
    </row>
    <row r="95" ht="15.75" customHeight="1">
      <c r="A95" s="111"/>
      <c r="B95" s="106" t="s">
        <v>58</v>
      </c>
      <c r="C95" s="111" t="s">
        <v>87</v>
      </c>
      <c r="D95" s="112" t="s">
        <v>61</v>
      </c>
      <c r="E95" s="112"/>
      <c r="F95" s="126">
        <v>0.3</v>
      </c>
      <c r="G95" s="126">
        <v>0.4</v>
      </c>
      <c r="I95" s="121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C95" s="22" t="str">
        <f t="shared" si="1"/>
        <v>#DIV/0!</v>
      </c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 t="str">
        <f t="shared" si="2"/>
        <v>#DIV/0!</v>
      </c>
      <c r="BB95" s="122"/>
    </row>
    <row r="96" ht="15.75" customHeight="1">
      <c r="A96" s="111"/>
      <c r="B96" s="106" t="s">
        <v>58</v>
      </c>
      <c r="C96" s="111" t="s">
        <v>87</v>
      </c>
      <c r="D96" s="112" t="s">
        <v>61</v>
      </c>
      <c r="E96" s="112"/>
      <c r="F96" s="126">
        <v>0.2</v>
      </c>
      <c r="G96" s="126">
        <v>0.25</v>
      </c>
      <c r="I96" s="12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C96" s="22" t="str">
        <f t="shared" si="1"/>
        <v>#DIV/0!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 t="str">
        <f t="shared" si="2"/>
        <v>#DIV/0!</v>
      </c>
      <c r="BB96" s="122"/>
    </row>
    <row r="97" ht="15.75" customHeight="1">
      <c r="A97" s="111"/>
      <c r="B97" s="106" t="s">
        <v>58</v>
      </c>
      <c r="C97" s="111" t="s">
        <v>87</v>
      </c>
      <c r="D97" s="112" t="s">
        <v>61</v>
      </c>
      <c r="E97" s="112"/>
      <c r="F97" s="126">
        <v>0.3</v>
      </c>
      <c r="G97" s="126">
        <v>0.25</v>
      </c>
      <c r="I97" s="121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C97" s="22" t="str">
        <f t="shared" si="1"/>
        <v>#DIV/0!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 t="str">
        <f t="shared" si="2"/>
        <v>#DIV/0!</v>
      </c>
      <c r="BB97" s="122"/>
    </row>
    <row r="98" ht="15.75" customHeight="1">
      <c r="A98" s="111"/>
      <c r="B98" s="106" t="s">
        <v>58</v>
      </c>
      <c r="C98" s="111" t="s">
        <v>87</v>
      </c>
      <c r="D98" s="112" t="s">
        <v>61</v>
      </c>
      <c r="E98" s="112"/>
      <c r="F98" s="126">
        <v>0.75</v>
      </c>
      <c r="G98" s="126">
        <v>0.6</v>
      </c>
      <c r="I98" s="12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C98" s="22" t="str">
        <f t="shared" si="1"/>
        <v>#DIV/0!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 t="str">
        <f t="shared" si="2"/>
        <v>#DIV/0!</v>
      </c>
      <c r="BB98" s="122"/>
    </row>
    <row r="99" ht="15.75" customHeight="1">
      <c r="A99" s="111"/>
      <c r="B99" s="106" t="s">
        <v>58</v>
      </c>
      <c r="C99" s="111" t="s">
        <v>87</v>
      </c>
      <c r="D99" s="112" t="s">
        <v>61</v>
      </c>
      <c r="E99" s="112"/>
      <c r="F99" s="126">
        <v>0.7</v>
      </c>
      <c r="G99" s="126">
        <v>0.5</v>
      </c>
      <c r="I99" s="121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C99" s="22" t="str">
        <f t="shared" si="1"/>
        <v>#DIV/0!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 t="str">
        <f t="shared" si="2"/>
        <v>#DIV/0!</v>
      </c>
      <c r="BB99" s="122"/>
    </row>
    <row r="100" ht="15.75" customHeight="1">
      <c r="A100" s="111"/>
      <c r="B100" s="106" t="s">
        <v>58</v>
      </c>
      <c r="C100" s="111" t="s">
        <v>88</v>
      </c>
      <c r="D100" s="112" t="s">
        <v>61</v>
      </c>
      <c r="E100" s="112"/>
      <c r="F100" s="126">
        <v>0.5</v>
      </c>
      <c r="G100" s="126">
        <v>0.2</v>
      </c>
      <c r="I100" s="12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C100" s="22" t="str">
        <f t="shared" si="1"/>
        <v>#DIV/0!</v>
      </c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 t="str">
        <f t="shared" si="2"/>
        <v>#DIV/0!</v>
      </c>
      <c r="BB100" s="122"/>
    </row>
    <row r="101" ht="15.75" customHeight="1">
      <c r="A101" s="111"/>
      <c r="B101" s="106" t="s">
        <v>58</v>
      </c>
      <c r="C101" s="111" t="s">
        <v>88</v>
      </c>
      <c r="D101" s="112" t="s">
        <v>61</v>
      </c>
      <c r="E101" s="112"/>
      <c r="F101" s="126">
        <v>0.2</v>
      </c>
      <c r="G101" s="126">
        <v>0.2</v>
      </c>
      <c r="I101" s="121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C101" s="22" t="str">
        <f t="shared" si="1"/>
        <v>#DIV/0!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 t="str">
        <f t="shared" si="2"/>
        <v>#DIV/0!</v>
      </c>
      <c r="BB101" s="122"/>
    </row>
    <row r="102" ht="15.75" customHeight="1">
      <c r="A102" s="111"/>
      <c r="B102" s="106" t="s">
        <v>58</v>
      </c>
      <c r="C102" s="111" t="s">
        <v>88</v>
      </c>
      <c r="D102" s="112" t="s">
        <v>61</v>
      </c>
      <c r="E102" s="112"/>
      <c r="F102" s="126">
        <v>0.3</v>
      </c>
      <c r="G102" s="126">
        <v>0.35</v>
      </c>
      <c r="I102" s="121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C102" s="22" t="str">
        <f t="shared" si="1"/>
        <v>#DIV/0!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 t="str">
        <f t="shared" si="2"/>
        <v>#DIV/0!</v>
      </c>
      <c r="BB102" s="122"/>
    </row>
    <row r="103" ht="15.75" customHeight="1">
      <c r="A103" s="111"/>
      <c r="B103" s="106" t="s">
        <v>58</v>
      </c>
      <c r="C103" s="111" t="s">
        <v>88</v>
      </c>
      <c r="D103" s="112" t="s">
        <v>61</v>
      </c>
      <c r="E103" s="112"/>
      <c r="F103" s="126">
        <v>0.15</v>
      </c>
      <c r="G103" s="126">
        <v>0.25</v>
      </c>
      <c r="I103" s="121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C103" s="22" t="str">
        <f t="shared" si="1"/>
        <v>#DIV/0!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 t="str">
        <f t="shared" si="2"/>
        <v>#DIV/0!</v>
      </c>
      <c r="BB103" s="122"/>
    </row>
    <row r="104" ht="15.75" customHeight="1">
      <c r="A104" s="111"/>
      <c r="B104" s="106" t="s">
        <v>58</v>
      </c>
      <c r="C104" s="111" t="s">
        <v>88</v>
      </c>
      <c r="D104" s="112" t="s">
        <v>61</v>
      </c>
      <c r="E104" s="112"/>
      <c r="F104" s="126">
        <v>0.1</v>
      </c>
      <c r="G104" s="126">
        <v>0.4</v>
      </c>
      <c r="I104" s="121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C104" s="22" t="str">
        <f t="shared" si="1"/>
        <v>#DIV/0!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 t="str">
        <f t="shared" si="2"/>
        <v>#DIV/0!</v>
      </c>
      <c r="BB104" s="122"/>
    </row>
    <row r="105" ht="15.75" customHeight="1">
      <c r="A105" s="103"/>
      <c r="B105" s="106" t="s">
        <v>58</v>
      </c>
      <c r="C105" s="103" t="s">
        <v>89</v>
      </c>
      <c r="D105" s="103" t="s">
        <v>56</v>
      </c>
      <c r="E105" s="103"/>
      <c r="F105" s="126">
        <v>0.05</v>
      </c>
      <c r="G105" s="126">
        <v>0.05</v>
      </c>
      <c r="I105" s="121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C105" s="22" t="str">
        <f t="shared" si="1"/>
        <v>#DIV/0!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 t="str">
        <f t="shared" si="2"/>
        <v>#DIV/0!</v>
      </c>
      <c r="BB105" s="122"/>
    </row>
    <row r="106" ht="15.75" customHeight="1">
      <c r="A106" s="103"/>
      <c r="B106" s="106" t="s">
        <v>58</v>
      </c>
      <c r="C106" s="103" t="s">
        <v>89</v>
      </c>
      <c r="D106" s="103" t="s">
        <v>56</v>
      </c>
      <c r="E106" s="103"/>
      <c r="F106" s="126">
        <v>0.2</v>
      </c>
      <c r="G106" s="126">
        <v>0.05</v>
      </c>
      <c r="H106" s="103" t="s">
        <v>335</v>
      </c>
      <c r="I106" s="121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C106" s="22" t="str">
        <f t="shared" si="1"/>
        <v>#DIV/0!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 t="str">
        <f t="shared" si="2"/>
        <v>#DIV/0!</v>
      </c>
      <c r="BB106" s="122"/>
    </row>
    <row r="107" ht="15.75" customHeight="1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F107" s="126"/>
      <c r="G107" s="126"/>
      <c r="H107" s="81" t="s">
        <v>336</v>
      </c>
      <c r="I107" s="127">
        <v>0.0</v>
      </c>
      <c r="J107" s="22">
        <v>3.0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C107" s="22" t="str">
        <f t="shared" si="1"/>
        <v>#DIV/0!</v>
      </c>
      <c r="AD107" s="14"/>
      <c r="AE107" s="14"/>
      <c r="AF107" s="22">
        <v>0.083</v>
      </c>
      <c r="AG107" s="14"/>
      <c r="AH107" s="14"/>
      <c r="AI107" s="22">
        <v>0.044</v>
      </c>
      <c r="AJ107" s="14"/>
      <c r="AK107" s="14"/>
      <c r="AL107" s="22">
        <v>0.037</v>
      </c>
      <c r="AM107" s="14"/>
      <c r="AN107" s="14"/>
      <c r="AO107" s="22">
        <v>0.163</v>
      </c>
      <c r="AP107" s="14"/>
      <c r="AQ107" s="14"/>
      <c r="AR107" s="22">
        <v>0.042</v>
      </c>
      <c r="AS107" s="14"/>
      <c r="AT107" s="14"/>
      <c r="AU107" s="22">
        <v>0.043</v>
      </c>
      <c r="AV107" s="14"/>
      <c r="AW107" s="14"/>
      <c r="AX107" s="22">
        <v>0.108</v>
      </c>
      <c r="AY107" s="22">
        <v>0.448</v>
      </c>
      <c r="AZ107" s="22">
        <v>0.145</v>
      </c>
      <c r="BA107" s="14" t="str">
        <f t="shared" si="2"/>
        <v>#DIV/0!</v>
      </c>
      <c r="BB107" s="23" t="s">
        <v>92</v>
      </c>
    </row>
    <row r="108" ht="15.75" customHeight="1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  <c r="F108" s="126"/>
      <c r="G108" s="126"/>
      <c r="H108" s="81" t="s">
        <v>337</v>
      </c>
      <c r="I108" s="121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C108" s="22" t="str">
        <f t="shared" si="1"/>
        <v>#DIV/0!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 t="str">
        <f t="shared" si="2"/>
        <v>#DIV/0!</v>
      </c>
      <c r="BB108" s="122"/>
    </row>
    <row r="109" ht="15.75" customHeight="1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  <c r="F109" s="126"/>
      <c r="G109" s="126"/>
      <c r="H109" s="81" t="s">
        <v>338</v>
      </c>
      <c r="I109" s="121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C109" s="22" t="str">
        <f t="shared" si="1"/>
        <v>#DIV/0!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 t="str">
        <f t="shared" si="2"/>
        <v>#DIV/0!</v>
      </c>
      <c r="BB109" s="122"/>
    </row>
    <row r="110" ht="15.75" customHeight="1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F110" s="126"/>
      <c r="G110" s="126"/>
      <c r="H110" s="81" t="s">
        <v>339</v>
      </c>
      <c r="I110" s="127">
        <v>0.0</v>
      </c>
      <c r="J110" s="22">
        <v>6.0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C110" s="22" t="str">
        <f t="shared" si="1"/>
        <v>#DIV/0!</v>
      </c>
      <c r="AD110" s="14"/>
      <c r="AE110" s="14"/>
      <c r="AF110" s="22">
        <v>0.059</v>
      </c>
      <c r="AG110" s="14"/>
      <c r="AH110" s="14"/>
      <c r="AI110" s="22">
        <v>0.044</v>
      </c>
      <c r="AJ110" s="14"/>
      <c r="AK110" s="14"/>
      <c r="AL110" s="22">
        <v>0.075</v>
      </c>
      <c r="AM110" s="14"/>
      <c r="AN110" s="14"/>
      <c r="AO110" s="22">
        <v>0.054</v>
      </c>
      <c r="AP110" s="14"/>
      <c r="AQ110" s="14"/>
      <c r="AR110" s="14"/>
      <c r="AS110" s="14"/>
      <c r="AT110" s="14"/>
      <c r="AU110" s="14"/>
      <c r="AV110" s="14"/>
      <c r="AW110" s="14"/>
      <c r="AX110" s="22">
        <v>1.03</v>
      </c>
      <c r="AY110" s="22">
        <v>0.305</v>
      </c>
      <c r="AZ110" s="14"/>
      <c r="BA110" s="14" t="str">
        <f t="shared" si="2"/>
        <v>#DIV/0!</v>
      </c>
      <c r="BB110" s="23" t="s">
        <v>93</v>
      </c>
    </row>
    <row r="111" ht="15.75" customHeight="1">
      <c r="A111" s="113" t="s">
        <v>89</v>
      </c>
      <c r="B111" s="106" t="s">
        <v>91</v>
      </c>
      <c r="C111" s="66" t="s">
        <v>340</v>
      </c>
      <c r="D111" s="114" t="s">
        <v>61</v>
      </c>
      <c r="E111" s="117">
        <v>2383.0</v>
      </c>
      <c r="F111" s="112"/>
      <c r="G111" s="126"/>
      <c r="H111" s="126"/>
      <c r="I111" s="127">
        <v>0.0</v>
      </c>
      <c r="J111" s="22">
        <v>7.0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C111" s="22" t="str">
        <f t="shared" si="1"/>
        <v>#DIV/0!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 t="str">
        <f t="shared" si="2"/>
        <v>#DIV/0!</v>
      </c>
      <c r="BB111" s="122"/>
    </row>
    <row r="112" ht="15.75" customHeight="1">
      <c r="A112" s="113" t="s">
        <v>89</v>
      </c>
      <c r="B112" s="106" t="s">
        <v>91</v>
      </c>
      <c r="C112" s="66" t="s">
        <v>341</v>
      </c>
      <c r="D112" s="114" t="s">
        <v>61</v>
      </c>
      <c r="E112" s="66">
        <v>2384.0</v>
      </c>
      <c r="F112" s="112"/>
      <c r="G112" s="126"/>
      <c r="H112" s="126"/>
      <c r="I112" s="121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C112" s="22" t="str">
        <f t="shared" si="1"/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 t="str">
        <f t="shared" si="2"/>
        <v>#DIV/0!</v>
      </c>
      <c r="BB112" s="122"/>
    </row>
    <row r="113" ht="15.75" customHeight="1">
      <c r="D113" s="112"/>
      <c r="F113" s="112"/>
      <c r="I113" s="121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22"/>
    </row>
    <row r="114" ht="15.75" customHeight="1">
      <c r="D114" s="112"/>
      <c r="F114" s="112"/>
      <c r="I114" s="121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22"/>
    </row>
    <row r="115" ht="15.75" customHeight="1">
      <c r="D115" s="112"/>
      <c r="F115" s="112"/>
      <c r="I115" s="121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22"/>
    </row>
    <row r="116" ht="15.75" customHeight="1">
      <c r="D116" s="112"/>
      <c r="F116" s="112"/>
      <c r="I116" s="121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22"/>
    </row>
    <row r="117" ht="15.75" customHeight="1">
      <c r="D117" s="112"/>
      <c r="F117" s="112"/>
      <c r="I117" s="121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22"/>
    </row>
    <row r="118" ht="15.75" customHeight="1">
      <c r="D118" s="112"/>
      <c r="F118" s="112"/>
      <c r="I118" s="121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22"/>
    </row>
    <row r="119" ht="15.75" customHeight="1">
      <c r="D119" s="112"/>
      <c r="F119" s="112"/>
      <c r="I119" s="121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22"/>
    </row>
    <row r="120" ht="15.75" customHeight="1">
      <c r="D120" s="112"/>
      <c r="F120" s="112"/>
      <c r="I120" s="121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22"/>
    </row>
    <row r="121" ht="15.75" customHeight="1">
      <c r="D121" s="112"/>
      <c r="F121" s="112"/>
      <c r="I121" s="121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22"/>
    </row>
    <row r="122" ht="15.75" customHeight="1">
      <c r="D122" s="112"/>
      <c r="F122" s="112"/>
      <c r="I122" s="121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22"/>
    </row>
    <row r="123" ht="15.75" customHeight="1">
      <c r="D123" s="112"/>
      <c r="F123" s="112"/>
      <c r="I123" s="121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22"/>
    </row>
    <row r="124" ht="15.75" customHeight="1">
      <c r="D124" s="112"/>
      <c r="F124" s="112"/>
      <c r="I124" s="121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22"/>
    </row>
    <row r="125" ht="15.75" customHeight="1">
      <c r="D125" s="112"/>
      <c r="F125" s="112"/>
      <c r="I125" s="121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22"/>
    </row>
    <row r="126" ht="15.75" customHeight="1">
      <c r="D126" s="112"/>
      <c r="F126" s="112"/>
      <c r="I126" s="121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22"/>
    </row>
    <row r="127" ht="15.75" customHeight="1">
      <c r="D127" s="112"/>
      <c r="F127" s="112"/>
      <c r="I127" s="121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22"/>
    </row>
    <row r="128" ht="15.75" customHeight="1">
      <c r="D128" s="112"/>
      <c r="F128" s="112"/>
      <c r="I128" s="121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22"/>
    </row>
    <row r="129" ht="15.75" customHeight="1">
      <c r="D129" s="112"/>
      <c r="F129" s="112"/>
      <c r="I129" s="121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22"/>
    </row>
    <row r="130" ht="15.75" customHeight="1">
      <c r="D130" s="112"/>
      <c r="F130" s="112"/>
      <c r="I130" s="121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22"/>
    </row>
    <row r="131" ht="15.75" customHeight="1">
      <c r="D131" s="112"/>
      <c r="F131" s="112"/>
      <c r="I131" s="121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22"/>
    </row>
    <row r="132" ht="15.75" customHeight="1">
      <c r="D132" s="112"/>
      <c r="F132" s="112"/>
      <c r="I132" s="121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22"/>
    </row>
    <row r="133" ht="15.75" customHeight="1">
      <c r="D133" s="112"/>
      <c r="F133" s="112"/>
      <c r="I133" s="121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22"/>
    </row>
    <row r="134" ht="15.75" customHeight="1">
      <c r="D134" s="112"/>
      <c r="F134" s="112"/>
      <c r="I134" s="121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22"/>
    </row>
    <row r="135" ht="15.75" customHeight="1">
      <c r="D135" s="112"/>
      <c r="F135" s="112"/>
      <c r="I135" s="121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22"/>
    </row>
    <row r="136" ht="15.75" customHeight="1">
      <c r="D136" s="112"/>
      <c r="F136" s="112"/>
      <c r="I136" s="121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22"/>
    </row>
    <row r="137" ht="15.75" customHeight="1">
      <c r="D137" s="112"/>
      <c r="F137" s="112"/>
      <c r="I137" s="121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22"/>
    </row>
    <row r="138" ht="15.75" customHeight="1">
      <c r="D138" s="112"/>
      <c r="F138" s="112"/>
      <c r="I138" s="121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22"/>
    </row>
    <row r="139" ht="15.75" customHeight="1">
      <c r="D139" s="112"/>
      <c r="F139" s="112"/>
      <c r="I139" s="121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22"/>
    </row>
    <row r="140" ht="15.75" customHeight="1">
      <c r="D140" s="112"/>
      <c r="F140" s="112"/>
      <c r="I140" s="121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22"/>
    </row>
    <row r="141" ht="15.75" customHeight="1">
      <c r="D141" s="112"/>
      <c r="F141" s="112"/>
      <c r="I141" s="121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22"/>
    </row>
    <row r="142" ht="15.75" customHeight="1">
      <c r="D142" s="112"/>
      <c r="F142" s="112"/>
      <c r="I142" s="121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22"/>
    </row>
    <row r="143" ht="15.75" customHeight="1">
      <c r="D143" s="112"/>
      <c r="F143" s="112"/>
      <c r="I143" s="121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22"/>
    </row>
    <row r="144" ht="15.75" customHeight="1">
      <c r="D144" s="112"/>
      <c r="F144" s="112"/>
      <c r="I144" s="121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22"/>
    </row>
    <row r="145" ht="15.75" customHeight="1">
      <c r="D145" s="112"/>
      <c r="F145" s="112"/>
      <c r="I145" s="121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22"/>
    </row>
    <row r="146" ht="15.75" customHeight="1">
      <c r="D146" s="112"/>
      <c r="F146" s="112"/>
      <c r="I146" s="121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22"/>
    </row>
    <row r="147" ht="15.75" customHeight="1">
      <c r="D147" s="112"/>
      <c r="F147" s="112"/>
      <c r="I147" s="121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22"/>
    </row>
    <row r="148" ht="15.75" customHeight="1">
      <c r="D148" s="112"/>
      <c r="F148" s="112"/>
      <c r="I148" s="121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22"/>
    </row>
    <row r="149" ht="15.75" customHeight="1">
      <c r="D149" s="112"/>
      <c r="F149" s="112"/>
      <c r="I149" s="121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22"/>
    </row>
    <row r="150" ht="15.75" customHeight="1">
      <c r="D150" s="112"/>
      <c r="F150" s="112"/>
      <c r="I150" s="121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22"/>
    </row>
    <row r="151" ht="15.75" customHeight="1">
      <c r="D151" s="112"/>
      <c r="F151" s="112"/>
      <c r="I151" s="121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22"/>
    </row>
    <row r="152" ht="15.75" customHeight="1">
      <c r="D152" s="112"/>
      <c r="F152" s="112"/>
      <c r="I152" s="121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22"/>
    </row>
    <row r="153" ht="15.75" customHeight="1">
      <c r="D153" s="112"/>
      <c r="F153" s="112"/>
      <c r="I153" s="121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22"/>
    </row>
    <row r="154" ht="15.75" customHeight="1">
      <c r="D154" s="112"/>
      <c r="F154" s="112"/>
      <c r="I154" s="121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22"/>
    </row>
    <row r="155" ht="15.75" customHeight="1">
      <c r="D155" s="112"/>
      <c r="F155" s="112"/>
      <c r="I155" s="121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22"/>
    </row>
    <row r="156" ht="15.75" customHeight="1">
      <c r="D156" s="112"/>
      <c r="F156" s="112"/>
      <c r="I156" s="121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22"/>
    </row>
    <row r="157" ht="15.75" customHeight="1">
      <c r="D157" s="112"/>
      <c r="F157" s="112"/>
      <c r="I157" s="121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22"/>
    </row>
    <row r="158" ht="15.75" customHeight="1">
      <c r="D158" s="112"/>
      <c r="F158" s="112"/>
      <c r="I158" s="121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22"/>
    </row>
    <row r="159" ht="15.75" customHeight="1">
      <c r="D159" s="112"/>
      <c r="F159" s="112"/>
      <c r="I159" s="121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22"/>
    </row>
    <row r="160" ht="15.75" customHeight="1">
      <c r="D160" s="112"/>
      <c r="F160" s="112"/>
      <c r="I160" s="121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22"/>
    </row>
    <row r="161" ht="15.75" customHeight="1">
      <c r="D161" s="112"/>
      <c r="F161" s="112"/>
      <c r="I161" s="121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22"/>
    </row>
    <row r="162" ht="15.75" customHeight="1">
      <c r="D162" s="112"/>
      <c r="F162" s="112"/>
      <c r="I162" s="121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22"/>
    </row>
    <row r="163" ht="15.75" customHeight="1">
      <c r="D163" s="112"/>
      <c r="F163" s="112"/>
      <c r="I163" s="121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22"/>
    </row>
    <row r="164" ht="15.75" customHeight="1">
      <c r="D164" s="112"/>
      <c r="F164" s="112"/>
      <c r="I164" s="121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22"/>
    </row>
    <row r="165" ht="15.75" customHeight="1">
      <c r="D165" s="112"/>
      <c r="F165" s="112"/>
      <c r="I165" s="121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22"/>
    </row>
    <row r="166" ht="15.75" customHeight="1">
      <c r="D166" s="112"/>
      <c r="F166" s="112"/>
      <c r="I166" s="121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22"/>
    </row>
    <row r="167" ht="15.75" customHeight="1">
      <c r="D167" s="112"/>
      <c r="F167" s="112"/>
      <c r="I167" s="121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22"/>
    </row>
    <row r="168" ht="15.75" customHeight="1">
      <c r="D168" s="112"/>
      <c r="F168" s="112"/>
      <c r="I168" s="121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22"/>
    </row>
    <row r="169" ht="15.75" customHeight="1">
      <c r="D169" s="112"/>
      <c r="F169" s="112"/>
      <c r="I169" s="121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22"/>
    </row>
    <row r="170" ht="15.75" customHeight="1">
      <c r="D170" s="112"/>
      <c r="F170" s="112"/>
      <c r="I170" s="121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22"/>
    </row>
    <row r="171" ht="15.75" customHeight="1">
      <c r="D171" s="112"/>
      <c r="F171" s="112"/>
      <c r="I171" s="121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22"/>
    </row>
    <row r="172" ht="15.75" customHeight="1">
      <c r="D172" s="112"/>
      <c r="F172" s="112"/>
      <c r="I172" s="121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22"/>
    </row>
    <row r="173" ht="15.75" customHeight="1">
      <c r="D173" s="112"/>
      <c r="F173" s="112"/>
      <c r="I173" s="121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22"/>
    </row>
    <row r="174" ht="15.75" customHeight="1">
      <c r="D174" s="112"/>
      <c r="F174" s="112"/>
      <c r="I174" s="121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22"/>
    </row>
    <row r="175" ht="15.75" customHeight="1">
      <c r="D175" s="112"/>
      <c r="F175" s="112"/>
      <c r="I175" s="121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22"/>
    </row>
    <row r="176" ht="15.75" customHeight="1">
      <c r="D176" s="112"/>
      <c r="F176" s="112"/>
      <c r="I176" s="121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22"/>
    </row>
    <row r="177" ht="15.75" customHeight="1">
      <c r="D177" s="112"/>
      <c r="F177" s="112"/>
      <c r="I177" s="121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22"/>
    </row>
    <row r="178" ht="15.75" customHeight="1">
      <c r="D178" s="112"/>
      <c r="F178" s="112"/>
      <c r="I178" s="121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22"/>
    </row>
    <row r="179" ht="15.75" customHeight="1">
      <c r="D179" s="112"/>
      <c r="F179" s="112"/>
      <c r="I179" s="121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22"/>
    </row>
    <row r="180" ht="15.75" customHeight="1">
      <c r="D180" s="112"/>
      <c r="F180" s="112"/>
      <c r="I180" s="121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22"/>
    </row>
    <row r="181" ht="15.75" customHeight="1">
      <c r="D181" s="112"/>
      <c r="F181" s="112"/>
      <c r="I181" s="121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22"/>
    </row>
    <row r="182" ht="15.75" customHeight="1">
      <c r="D182" s="112"/>
      <c r="F182" s="112"/>
      <c r="I182" s="121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22"/>
    </row>
    <row r="183" ht="15.75" customHeight="1">
      <c r="D183" s="112"/>
      <c r="F183" s="112"/>
      <c r="I183" s="121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22"/>
    </row>
    <row r="184" ht="15.75" customHeight="1">
      <c r="D184" s="112"/>
      <c r="F184" s="112"/>
      <c r="I184" s="121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22"/>
    </row>
    <row r="185" ht="15.75" customHeight="1">
      <c r="D185" s="112"/>
      <c r="F185" s="112"/>
      <c r="I185" s="121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22"/>
    </row>
    <row r="186" ht="15.75" customHeight="1">
      <c r="D186" s="112"/>
      <c r="F186" s="112"/>
      <c r="I186" s="121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22"/>
    </row>
    <row r="187" ht="15.75" customHeight="1">
      <c r="D187" s="112"/>
      <c r="F187" s="112"/>
      <c r="I187" s="121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22"/>
    </row>
    <row r="188" ht="15.75" customHeight="1">
      <c r="D188" s="112"/>
      <c r="F188" s="112"/>
      <c r="I188" s="121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22"/>
    </row>
    <row r="189" ht="15.75" customHeight="1">
      <c r="D189" s="112"/>
      <c r="F189" s="112"/>
      <c r="I189" s="121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22"/>
    </row>
    <row r="190" ht="15.75" customHeight="1">
      <c r="D190" s="112"/>
      <c r="F190" s="112"/>
      <c r="I190" s="121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22"/>
    </row>
    <row r="191" ht="15.75" customHeight="1">
      <c r="D191" s="112"/>
      <c r="F191" s="112"/>
      <c r="I191" s="121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22"/>
    </row>
    <row r="192" ht="15.75" customHeight="1">
      <c r="D192" s="112"/>
      <c r="F192" s="112"/>
      <c r="I192" s="121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22"/>
    </row>
    <row r="193" ht="15.75" customHeight="1">
      <c r="D193" s="112"/>
      <c r="F193" s="112"/>
      <c r="I193" s="121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22"/>
    </row>
    <row r="194" ht="15.75" customHeight="1">
      <c r="D194" s="112"/>
      <c r="F194" s="112"/>
      <c r="I194" s="121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22"/>
    </row>
    <row r="195" ht="15.75" customHeight="1">
      <c r="D195" s="112"/>
      <c r="F195" s="112"/>
      <c r="I195" s="121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22"/>
    </row>
    <row r="196" ht="15.75" customHeight="1">
      <c r="D196" s="112"/>
      <c r="F196" s="112"/>
      <c r="I196" s="121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22"/>
    </row>
    <row r="197" ht="15.75" customHeight="1">
      <c r="D197" s="112"/>
      <c r="F197" s="112"/>
      <c r="I197" s="121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22"/>
    </row>
    <row r="198" ht="15.75" customHeight="1">
      <c r="D198" s="112"/>
      <c r="F198" s="112"/>
      <c r="I198" s="121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22"/>
    </row>
    <row r="199" ht="15.75" customHeight="1">
      <c r="D199" s="112"/>
      <c r="F199" s="112"/>
      <c r="I199" s="121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22"/>
    </row>
    <row r="200" ht="15.75" customHeight="1">
      <c r="D200" s="112"/>
      <c r="F200" s="112"/>
      <c r="I200" s="121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22"/>
    </row>
    <row r="201" ht="15.75" customHeight="1">
      <c r="D201" s="112"/>
      <c r="F201" s="112"/>
      <c r="I201" s="121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22"/>
    </row>
    <row r="202" ht="15.75" customHeight="1">
      <c r="D202" s="112"/>
      <c r="F202" s="112"/>
      <c r="I202" s="121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22"/>
    </row>
    <row r="203" ht="15.75" customHeight="1">
      <c r="D203" s="112"/>
      <c r="F203" s="112"/>
      <c r="I203" s="121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22"/>
    </row>
    <row r="204" ht="15.75" customHeight="1">
      <c r="D204" s="112"/>
      <c r="F204" s="112"/>
      <c r="I204" s="121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22"/>
    </row>
    <row r="205" ht="15.75" customHeight="1">
      <c r="D205" s="112"/>
      <c r="F205" s="112"/>
      <c r="I205" s="121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22"/>
    </row>
    <row r="206" ht="15.75" customHeight="1">
      <c r="D206" s="112"/>
      <c r="F206" s="112"/>
      <c r="I206" s="121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22"/>
    </row>
    <row r="207" ht="15.75" customHeight="1">
      <c r="D207" s="112"/>
      <c r="F207" s="112"/>
      <c r="I207" s="121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22"/>
    </row>
    <row r="208" ht="15.75" customHeight="1">
      <c r="D208" s="112"/>
      <c r="F208" s="112"/>
      <c r="I208" s="121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22"/>
    </row>
    <row r="209" ht="15.75" customHeight="1">
      <c r="D209" s="112"/>
      <c r="F209" s="112"/>
      <c r="I209" s="121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22"/>
    </row>
    <row r="210" ht="15.75" customHeight="1">
      <c r="D210" s="112"/>
      <c r="F210" s="112"/>
      <c r="I210" s="121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22"/>
    </row>
    <row r="211" ht="15.75" customHeight="1">
      <c r="D211" s="112"/>
      <c r="F211" s="112"/>
      <c r="I211" s="121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22"/>
    </row>
    <row r="212" ht="15.75" customHeight="1">
      <c r="D212" s="112"/>
      <c r="F212" s="112"/>
      <c r="I212" s="121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22"/>
    </row>
    <row r="213" ht="15.75" customHeight="1">
      <c r="D213" s="112"/>
      <c r="F213" s="112"/>
      <c r="I213" s="121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22"/>
    </row>
    <row r="214" ht="15.75" customHeight="1">
      <c r="D214" s="112"/>
      <c r="F214" s="112"/>
      <c r="I214" s="121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22"/>
    </row>
    <row r="215" ht="15.75" customHeight="1">
      <c r="D215" s="112"/>
      <c r="F215" s="112"/>
      <c r="I215" s="121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22"/>
    </row>
    <row r="216" ht="15.75" customHeight="1">
      <c r="D216" s="112"/>
      <c r="F216" s="112"/>
      <c r="I216" s="121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22"/>
    </row>
    <row r="217" ht="15.75" customHeight="1">
      <c r="D217" s="112"/>
      <c r="F217" s="112"/>
      <c r="I217" s="121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22"/>
    </row>
    <row r="218" ht="15.75" customHeight="1">
      <c r="D218" s="112"/>
      <c r="F218" s="112"/>
      <c r="I218" s="121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22"/>
    </row>
    <row r="219" ht="15.75" customHeight="1">
      <c r="D219" s="112"/>
      <c r="F219" s="112"/>
      <c r="I219" s="121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22"/>
    </row>
    <row r="220" ht="15.75" customHeight="1">
      <c r="D220" s="112"/>
      <c r="F220" s="112"/>
      <c r="I220" s="121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22"/>
    </row>
    <row r="221" ht="15.75" customHeight="1">
      <c r="D221" s="112"/>
      <c r="F221" s="112"/>
      <c r="I221" s="121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22"/>
    </row>
    <row r="222" ht="15.75" customHeight="1">
      <c r="D222" s="112"/>
      <c r="F222" s="112"/>
      <c r="I222" s="121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22"/>
    </row>
    <row r="223" ht="15.75" customHeight="1">
      <c r="D223" s="112"/>
      <c r="F223" s="112"/>
      <c r="I223" s="121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22"/>
    </row>
    <row r="224" ht="15.75" customHeight="1">
      <c r="D224" s="112"/>
      <c r="F224" s="112"/>
      <c r="I224" s="121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22"/>
    </row>
    <row r="225" ht="15.75" customHeight="1">
      <c r="D225" s="112"/>
      <c r="F225" s="112"/>
      <c r="I225" s="121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22"/>
    </row>
    <row r="226" ht="15.75" customHeight="1">
      <c r="D226" s="112"/>
      <c r="F226" s="112"/>
      <c r="I226" s="121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22"/>
    </row>
    <row r="227" ht="15.75" customHeight="1">
      <c r="D227" s="112"/>
      <c r="F227" s="112"/>
      <c r="I227" s="121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22"/>
    </row>
    <row r="228" ht="15.75" customHeight="1">
      <c r="D228" s="112"/>
      <c r="F228" s="112"/>
      <c r="I228" s="121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22"/>
    </row>
    <row r="229" ht="15.75" customHeight="1">
      <c r="D229" s="112"/>
      <c r="F229" s="112"/>
      <c r="I229" s="121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22"/>
    </row>
    <row r="230" ht="15.75" customHeight="1">
      <c r="D230" s="112"/>
      <c r="F230" s="112"/>
      <c r="I230" s="121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22"/>
    </row>
    <row r="231" ht="15.75" customHeight="1">
      <c r="D231" s="112"/>
      <c r="F231" s="112"/>
      <c r="I231" s="121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22"/>
    </row>
    <row r="232" ht="15.75" customHeight="1">
      <c r="D232" s="112"/>
      <c r="F232" s="112"/>
      <c r="I232" s="121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22"/>
    </row>
    <row r="233" ht="15.75" customHeight="1">
      <c r="D233" s="112"/>
      <c r="F233" s="112"/>
      <c r="I233" s="121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22"/>
    </row>
    <row r="234" ht="15.75" customHeight="1">
      <c r="D234" s="112"/>
      <c r="F234" s="112"/>
      <c r="I234" s="121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22"/>
    </row>
    <row r="235" ht="15.75" customHeight="1">
      <c r="D235" s="112"/>
      <c r="F235" s="112"/>
      <c r="I235" s="121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22"/>
    </row>
    <row r="236" ht="15.75" customHeight="1">
      <c r="D236" s="112"/>
      <c r="F236" s="112"/>
      <c r="I236" s="121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22"/>
    </row>
    <row r="237" ht="15.75" customHeight="1">
      <c r="D237" s="112"/>
      <c r="F237" s="112"/>
      <c r="I237" s="121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22"/>
    </row>
    <row r="238" ht="15.75" customHeight="1">
      <c r="D238" s="112"/>
      <c r="F238" s="112"/>
      <c r="I238" s="121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22"/>
    </row>
    <row r="239" ht="15.75" customHeight="1">
      <c r="D239" s="112"/>
      <c r="F239" s="112"/>
      <c r="I239" s="121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22"/>
    </row>
    <row r="240" ht="15.75" customHeight="1">
      <c r="D240" s="112"/>
      <c r="F240" s="112"/>
      <c r="I240" s="121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22"/>
    </row>
    <row r="241" ht="15.75" customHeight="1">
      <c r="D241" s="112"/>
      <c r="F241" s="112"/>
      <c r="I241" s="121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22"/>
    </row>
    <row r="242" ht="15.75" customHeight="1">
      <c r="D242" s="112"/>
      <c r="F242" s="112"/>
      <c r="I242" s="121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22"/>
    </row>
    <row r="243" ht="15.75" customHeight="1">
      <c r="D243" s="112"/>
      <c r="F243" s="112"/>
      <c r="I243" s="121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22"/>
    </row>
    <row r="244" ht="15.75" customHeight="1">
      <c r="D244" s="112"/>
      <c r="F244" s="112"/>
      <c r="I244" s="121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22"/>
    </row>
    <row r="245" ht="15.75" customHeight="1">
      <c r="D245" s="112"/>
      <c r="F245" s="112"/>
      <c r="I245" s="121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22"/>
    </row>
    <row r="246" ht="15.75" customHeight="1">
      <c r="D246" s="112"/>
      <c r="F246" s="112"/>
      <c r="I246" s="121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22"/>
    </row>
    <row r="247" ht="15.75" customHeight="1">
      <c r="D247" s="112"/>
      <c r="F247" s="112"/>
      <c r="I247" s="121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22"/>
    </row>
    <row r="248" ht="15.75" customHeight="1">
      <c r="D248" s="112"/>
      <c r="F248" s="112"/>
      <c r="I248" s="121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22"/>
    </row>
    <row r="249" ht="15.75" customHeight="1">
      <c r="D249" s="112"/>
      <c r="F249" s="112"/>
      <c r="I249" s="121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22"/>
    </row>
    <row r="250" ht="15.75" customHeight="1">
      <c r="D250" s="112"/>
      <c r="F250" s="112"/>
      <c r="I250" s="121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22"/>
    </row>
    <row r="251" ht="15.75" customHeight="1">
      <c r="D251" s="112"/>
      <c r="F251" s="112"/>
      <c r="I251" s="121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22"/>
    </row>
    <row r="252" ht="15.75" customHeight="1">
      <c r="D252" s="112"/>
      <c r="F252" s="112"/>
      <c r="I252" s="121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22"/>
    </row>
    <row r="253" ht="15.75" customHeight="1">
      <c r="D253" s="112"/>
      <c r="F253" s="112"/>
      <c r="I253" s="121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22"/>
    </row>
    <row r="254" ht="15.75" customHeight="1">
      <c r="D254" s="112"/>
      <c r="F254" s="112"/>
      <c r="I254" s="121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22"/>
    </row>
    <row r="255" ht="15.75" customHeight="1">
      <c r="D255" s="112"/>
      <c r="F255" s="112"/>
      <c r="I255" s="121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22"/>
    </row>
    <row r="256" ht="15.75" customHeight="1">
      <c r="D256" s="112"/>
      <c r="F256" s="112"/>
      <c r="I256" s="121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22"/>
    </row>
    <row r="257" ht="15.75" customHeight="1">
      <c r="D257" s="112"/>
      <c r="F257" s="112"/>
      <c r="I257" s="121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22"/>
    </row>
    <row r="258" ht="15.75" customHeight="1">
      <c r="D258" s="112"/>
      <c r="F258" s="112"/>
      <c r="I258" s="121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22"/>
    </row>
    <row r="259" ht="15.75" customHeight="1">
      <c r="D259" s="112"/>
      <c r="F259" s="112"/>
      <c r="I259" s="121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22"/>
    </row>
    <row r="260" ht="15.75" customHeight="1">
      <c r="D260" s="112"/>
      <c r="F260" s="112"/>
      <c r="I260" s="121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22"/>
    </row>
    <row r="261" ht="15.75" customHeight="1">
      <c r="D261" s="112"/>
      <c r="F261" s="112"/>
      <c r="I261" s="121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22"/>
    </row>
    <row r="262" ht="15.75" customHeight="1">
      <c r="D262" s="112"/>
      <c r="F262" s="112"/>
      <c r="I262" s="121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22"/>
    </row>
    <row r="263" ht="15.75" customHeight="1">
      <c r="D263" s="112"/>
      <c r="F263" s="112"/>
      <c r="I263" s="121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22"/>
    </row>
    <row r="264" ht="15.75" customHeight="1">
      <c r="D264" s="112"/>
      <c r="F264" s="112"/>
      <c r="I264" s="121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22"/>
    </row>
    <row r="265" ht="15.75" customHeight="1">
      <c r="D265" s="112"/>
      <c r="F265" s="112"/>
      <c r="I265" s="121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22"/>
    </row>
    <row r="266" ht="15.75" customHeight="1">
      <c r="D266" s="112"/>
      <c r="F266" s="112"/>
      <c r="I266" s="121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22"/>
    </row>
    <row r="267" ht="15.75" customHeight="1">
      <c r="D267" s="112"/>
      <c r="F267" s="112"/>
      <c r="I267" s="121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22"/>
    </row>
    <row r="268" ht="15.75" customHeight="1">
      <c r="D268" s="112"/>
      <c r="F268" s="112"/>
      <c r="I268" s="121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22"/>
    </row>
    <row r="269" ht="15.75" customHeight="1">
      <c r="D269" s="112"/>
      <c r="F269" s="112"/>
      <c r="I269" s="121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22"/>
    </row>
    <row r="270" ht="15.75" customHeight="1">
      <c r="I270" s="121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22"/>
    </row>
    <row r="271" ht="15.75" customHeight="1">
      <c r="I271" s="121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22"/>
    </row>
    <row r="272" ht="15.75" customHeight="1">
      <c r="I272" s="121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22"/>
    </row>
    <row r="273" ht="15.75" customHeight="1">
      <c r="I273" s="121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22"/>
    </row>
    <row r="274" ht="15.75" customHeight="1">
      <c r="I274" s="121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22"/>
    </row>
    <row r="275" ht="15.75" customHeight="1">
      <c r="I275" s="121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22"/>
    </row>
    <row r="276" ht="15.75" customHeight="1">
      <c r="I276" s="121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22"/>
    </row>
    <row r="277" ht="15.75" customHeight="1">
      <c r="I277" s="121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22"/>
    </row>
    <row r="278" ht="15.75" customHeight="1">
      <c r="I278" s="121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22"/>
    </row>
    <row r="279" ht="15.75" customHeight="1">
      <c r="I279" s="121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22"/>
    </row>
    <row r="280" ht="15.75" customHeight="1">
      <c r="I280" s="121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22"/>
    </row>
    <row r="281" ht="15.75" customHeight="1">
      <c r="I281" s="121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22"/>
    </row>
    <row r="282" ht="15.75" customHeight="1">
      <c r="I282" s="121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22"/>
    </row>
    <row r="283" ht="15.75" customHeight="1">
      <c r="I283" s="121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22"/>
    </row>
    <row r="284" ht="15.75" customHeight="1">
      <c r="I284" s="121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22"/>
    </row>
    <row r="285" ht="15.75" customHeight="1">
      <c r="I285" s="121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22"/>
    </row>
    <row r="286" ht="15.75" customHeight="1">
      <c r="I286" s="121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22"/>
    </row>
    <row r="287" ht="15.75" customHeight="1">
      <c r="I287" s="121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22"/>
    </row>
    <row r="288" ht="15.75" customHeight="1">
      <c r="I288" s="121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22"/>
    </row>
    <row r="289" ht="15.75" customHeight="1">
      <c r="I289" s="121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22"/>
    </row>
    <row r="290" ht="15.75" customHeight="1">
      <c r="I290" s="121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22"/>
    </row>
    <row r="291" ht="15.75" customHeight="1">
      <c r="I291" s="121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22"/>
    </row>
    <row r="292" ht="15.75" customHeight="1">
      <c r="I292" s="121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22"/>
    </row>
    <row r="293" ht="15.75" customHeight="1">
      <c r="I293" s="121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22"/>
    </row>
    <row r="294" ht="15.75" customHeight="1">
      <c r="I294" s="121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22"/>
    </row>
    <row r="295" ht="15.75" customHeight="1">
      <c r="I295" s="121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22"/>
    </row>
    <row r="296" ht="15.75" customHeight="1">
      <c r="I296" s="121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22"/>
    </row>
    <row r="297" ht="15.75" customHeight="1">
      <c r="I297" s="121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22"/>
    </row>
    <row r="298" ht="15.75" customHeight="1">
      <c r="I298" s="121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22"/>
    </row>
    <row r="299" ht="15.75" customHeight="1">
      <c r="I299" s="121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22"/>
    </row>
    <row r="300" ht="15.75" customHeight="1">
      <c r="I300" s="121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22"/>
    </row>
    <row r="301" ht="15.75" customHeight="1">
      <c r="I301" s="121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22"/>
    </row>
    <row r="302" ht="15.75" customHeight="1">
      <c r="I302" s="121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22"/>
    </row>
    <row r="303" ht="15.75" customHeight="1">
      <c r="I303" s="121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22"/>
    </row>
    <row r="304" ht="15.75" customHeight="1">
      <c r="I304" s="121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22"/>
    </row>
    <row r="305" ht="15.75" customHeight="1">
      <c r="I305" s="121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22"/>
    </row>
    <row r="306" ht="15.75" customHeight="1">
      <c r="I306" s="121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22"/>
    </row>
    <row r="307" ht="15.75" customHeight="1">
      <c r="I307" s="121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22"/>
    </row>
    <row r="308" ht="15.75" customHeight="1">
      <c r="I308" s="121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22"/>
    </row>
    <row r="309" ht="15.75" customHeight="1">
      <c r="I309" s="121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22"/>
    </row>
    <row r="310" ht="15.75" customHeight="1">
      <c r="I310" s="121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22"/>
    </row>
    <row r="311" ht="15.75" customHeight="1">
      <c r="I311" s="121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22"/>
    </row>
    <row r="312" ht="15.75" customHeight="1">
      <c r="I312" s="121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22"/>
    </row>
    <row r="313" ht="15.75" customHeight="1">
      <c r="I313" s="121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22"/>
    </row>
    <row r="314" ht="15.75" customHeight="1">
      <c r="I314" s="121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22"/>
    </row>
    <row r="315" ht="15.75" customHeight="1">
      <c r="I315" s="121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22"/>
    </row>
    <row r="316" ht="15.75" customHeight="1">
      <c r="I316" s="121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22"/>
    </row>
    <row r="317" ht="15.75" customHeight="1">
      <c r="I317" s="121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22"/>
    </row>
    <row r="318" ht="15.75" customHeight="1">
      <c r="I318" s="121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22"/>
    </row>
    <row r="319" ht="15.75" customHeight="1">
      <c r="I319" s="121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22"/>
    </row>
    <row r="320" ht="15.75" customHeight="1">
      <c r="I320" s="121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22"/>
    </row>
    <row r="321" ht="15.75" customHeight="1">
      <c r="I321" s="121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22"/>
    </row>
    <row r="322" ht="15.75" customHeight="1">
      <c r="I322" s="121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22"/>
    </row>
    <row r="323" ht="15.75" customHeight="1">
      <c r="I323" s="121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22"/>
    </row>
    <row r="324" ht="15.75" customHeight="1">
      <c r="I324" s="121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22"/>
    </row>
    <row r="325" ht="15.75" customHeight="1">
      <c r="I325" s="121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22"/>
    </row>
    <row r="326" ht="15.75" customHeight="1">
      <c r="I326" s="121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22"/>
    </row>
    <row r="327" ht="15.75" customHeight="1">
      <c r="I327" s="121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22"/>
    </row>
    <row r="328" ht="15.75" customHeight="1">
      <c r="I328" s="121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22"/>
    </row>
    <row r="329" ht="15.75" customHeight="1">
      <c r="I329" s="121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22"/>
    </row>
    <row r="330" ht="15.75" customHeight="1">
      <c r="I330" s="121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22"/>
    </row>
    <row r="331" ht="15.75" customHeight="1">
      <c r="I331" s="121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22"/>
    </row>
    <row r="332" ht="15.75" customHeight="1">
      <c r="I332" s="121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22"/>
    </row>
    <row r="333" ht="15.75" customHeight="1">
      <c r="I333" s="121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22"/>
    </row>
    <row r="334" ht="15.75" customHeight="1">
      <c r="I334" s="121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22"/>
    </row>
    <row r="335" ht="15.75" customHeight="1">
      <c r="I335" s="121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22"/>
    </row>
    <row r="336" ht="15.75" customHeight="1">
      <c r="I336" s="121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22"/>
    </row>
    <row r="337" ht="15.75" customHeight="1">
      <c r="I337" s="121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22"/>
    </row>
    <row r="338" ht="15.75" customHeight="1">
      <c r="I338" s="121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22"/>
    </row>
    <row r="339" ht="15.75" customHeight="1">
      <c r="I339" s="121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22"/>
    </row>
    <row r="340" ht="15.75" customHeight="1">
      <c r="I340" s="121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22"/>
    </row>
    <row r="341" ht="15.75" customHeight="1">
      <c r="I341" s="121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22"/>
    </row>
    <row r="342" ht="15.75" customHeight="1">
      <c r="I342" s="121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22"/>
    </row>
    <row r="343" ht="15.75" customHeight="1">
      <c r="I343" s="121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22"/>
    </row>
    <row r="344" ht="15.75" customHeight="1">
      <c r="I344" s="121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22"/>
    </row>
    <row r="345" ht="15.75" customHeight="1">
      <c r="I345" s="121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22"/>
    </row>
    <row r="346" ht="15.75" customHeight="1">
      <c r="I346" s="121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22"/>
    </row>
    <row r="347" ht="15.75" customHeight="1">
      <c r="I347" s="121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22"/>
    </row>
    <row r="348" ht="15.75" customHeight="1">
      <c r="I348" s="121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22"/>
    </row>
    <row r="349" ht="15.75" customHeight="1">
      <c r="I349" s="121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22"/>
    </row>
    <row r="350" ht="15.75" customHeight="1">
      <c r="I350" s="121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22"/>
    </row>
    <row r="351" ht="15.75" customHeight="1">
      <c r="I351" s="121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22"/>
    </row>
    <row r="352" ht="15.75" customHeight="1">
      <c r="I352" s="121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22"/>
    </row>
    <row r="353" ht="15.75" customHeight="1">
      <c r="I353" s="121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22"/>
    </row>
    <row r="354" ht="15.75" customHeight="1">
      <c r="I354" s="121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22"/>
    </row>
    <row r="355" ht="15.75" customHeight="1">
      <c r="I355" s="121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22"/>
    </row>
    <row r="356" ht="15.75" customHeight="1">
      <c r="I356" s="121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22"/>
    </row>
    <row r="357" ht="15.75" customHeight="1">
      <c r="I357" s="121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22"/>
    </row>
    <row r="358" ht="15.75" customHeight="1">
      <c r="I358" s="121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22"/>
    </row>
    <row r="359" ht="15.75" customHeight="1">
      <c r="I359" s="121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22"/>
    </row>
    <row r="360" ht="15.75" customHeight="1">
      <c r="I360" s="121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22"/>
    </row>
    <row r="361" ht="15.75" customHeight="1">
      <c r="I361" s="121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22"/>
    </row>
    <row r="362" ht="15.75" customHeight="1">
      <c r="I362" s="121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22"/>
    </row>
    <row r="363" ht="15.75" customHeight="1">
      <c r="I363" s="121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22"/>
    </row>
    <row r="364" ht="15.75" customHeight="1">
      <c r="I364" s="121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22"/>
    </row>
    <row r="365" ht="15.75" customHeight="1">
      <c r="I365" s="121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22"/>
    </row>
    <row r="366" ht="15.75" customHeight="1">
      <c r="I366" s="121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22"/>
    </row>
    <row r="367" ht="15.75" customHeight="1">
      <c r="I367" s="121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22"/>
    </row>
    <row r="368" ht="15.75" customHeight="1">
      <c r="I368" s="121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22"/>
    </row>
    <row r="369" ht="15.75" customHeight="1">
      <c r="I369" s="121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22"/>
    </row>
    <row r="370" ht="15.75" customHeight="1">
      <c r="I370" s="121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22"/>
    </row>
    <row r="371" ht="15.75" customHeight="1">
      <c r="I371" s="121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22"/>
    </row>
    <row r="372" ht="15.75" customHeight="1">
      <c r="I372" s="121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22"/>
    </row>
    <row r="373" ht="15.75" customHeight="1">
      <c r="I373" s="121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22"/>
    </row>
    <row r="374" ht="15.75" customHeight="1">
      <c r="I374" s="121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22"/>
    </row>
    <row r="375" ht="15.75" customHeight="1">
      <c r="I375" s="121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22"/>
    </row>
    <row r="376" ht="15.75" customHeight="1">
      <c r="I376" s="121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22"/>
    </row>
    <row r="377" ht="15.75" customHeight="1">
      <c r="I377" s="121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22"/>
    </row>
    <row r="378" ht="15.75" customHeight="1">
      <c r="I378" s="121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22"/>
    </row>
    <row r="379" ht="15.75" customHeight="1">
      <c r="I379" s="121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22"/>
    </row>
    <row r="380" ht="15.75" customHeight="1">
      <c r="I380" s="121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22"/>
    </row>
    <row r="381" ht="15.75" customHeight="1">
      <c r="I381" s="121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22"/>
    </row>
    <row r="382" ht="15.75" customHeight="1">
      <c r="I382" s="121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22"/>
    </row>
    <row r="383" ht="15.75" customHeight="1">
      <c r="I383" s="121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22"/>
    </row>
    <row r="384" ht="15.75" customHeight="1">
      <c r="I384" s="121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22"/>
    </row>
    <row r="385" ht="15.75" customHeight="1">
      <c r="I385" s="121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22"/>
    </row>
    <row r="386" ht="15.75" customHeight="1">
      <c r="I386" s="121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22"/>
    </row>
    <row r="387" ht="15.75" customHeight="1">
      <c r="I387" s="121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22"/>
    </row>
    <row r="388" ht="15.75" customHeight="1">
      <c r="I388" s="121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22"/>
    </row>
    <row r="389" ht="15.75" customHeight="1">
      <c r="I389" s="121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22"/>
    </row>
    <row r="390" ht="15.75" customHeight="1">
      <c r="I390" s="121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22"/>
    </row>
    <row r="391" ht="15.75" customHeight="1">
      <c r="I391" s="121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22"/>
    </row>
    <row r="392" ht="15.75" customHeight="1">
      <c r="I392" s="121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22"/>
    </row>
    <row r="393" ht="15.75" customHeight="1">
      <c r="I393" s="121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22"/>
    </row>
    <row r="394" ht="15.75" customHeight="1">
      <c r="I394" s="121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22"/>
    </row>
    <row r="395" ht="15.75" customHeight="1">
      <c r="I395" s="121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22"/>
    </row>
    <row r="396" ht="15.75" customHeight="1">
      <c r="I396" s="121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22"/>
    </row>
    <row r="397" ht="15.75" customHeight="1">
      <c r="I397" s="121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22"/>
    </row>
    <row r="398" ht="15.75" customHeight="1">
      <c r="I398" s="121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22"/>
    </row>
    <row r="399" ht="15.75" customHeight="1">
      <c r="I399" s="121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22"/>
    </row>
    <row r="400" ht="15.75" customHeight="1">
      <c r="I400" s="121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22"/>
    </row>
    <row r="401" ht="15.75" customHeight="1">
      <c r="I401" s="121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22"/>
    </row>
    <row r="402" ht="15.75" customHeight="1">
      <c r="I402" s="121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22"/>
    </row>
    <row r="403" ht="15.75" customHeight="1">
      <c r="I403" s="121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22"/>
    </row>
    <row r="404" ht="15.75" customHeight="1">
      <c r="I404" s="121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22"/>
    </row>
    <row r="405" ht="15.75" customHeight="1">
      <c r="I405" s="121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22"/>
    </row>
    <row r="406" ht="15.75" customHeight="1">
      <c r="I406" s="121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22"/>
    </row>
    <row r="407" ht="15.75" customHeight="1">
      <c r="I407" s="121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22"/>
    </row>
    <row r="408" ht="15.75" customHeight="1">
      <c r="I408" s="121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22"/>
    </row>
    <row r="409" ht="15.75" customHeight="1">
      <c r="I409" s="121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22"/>
    </row>
    <row r="410" ht="15.75" customHeight="1">
      <c r="I410" s="121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22"/>
    </row>
    <row r="411" ht="15.75" customHeight="1">
      <c r="I411" s="121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22"/>
    </row>
    <row r="412" ht="15.75" customHeight="1">
      <c r="I412" s="121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22"/>
    </row>
    <row r="413" ht="15.75" customHeight="1">
      <c r="I413" s="121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22"/>
    </row>
    <row r="414" ht="15.75" customHeight="1">
      <c r="I414" s="121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22"/>
    </row>
    <row r="415" ht="15.75" customHeight="1">
      <c r="I415" s="121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22"/>
    </row>
    <row r="416" ht="15.75" customHeight="1">
      <c r="I416" s="121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22"/>
    </row>
    <row r="417" ht="15.75" customHeight="1">
      <c r="I417" s="121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22"/>
    </row>
    <row r="418" ht="15.75" customHeight="1">
      <c r="I418" s="121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22"/>
    </row>
    <row r="419" ht="15.75" customHeight="1">
      <c r="I419" s="121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22"/>
    </row>
    <row r="420" ht="15.75" customHeight="1">
      <c r="I420" s="121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22"/>
    </row>
    <row r="421" ht="15.75" customHeight="1">
      <c r="I421" s="121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22"/>
    </row>
    <row r="422" ht="15.75" customHeight="1">
      <c r="I422" s="121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22"/>
    </row>
    <row r="423" ht="15.75" customHeight="1">
      <c r="I423" s="121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22"/>
    </row>
    <row r="424" ht="15.75" customHeight="1">
      <c r="I424" s="121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22"/>
    </row>
    <row r="425" ht="15.75" customHeight="1">
      <c r="I425" s="121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22"/>
    </row>
    <row r="426" ht="15.75" customHeight="1">
      <c r="I426" s="121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22"/>
    </row>
    <row r="427" ht="15.75" customHeight="1">
      <c r="I427" s="121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22"/>
    </row>
    <row r="428" ht="15.75" customHeight="1">
      <c r="I428" s="121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22"/>
    </row>
    <row r="429" ht="15.75" customHeight="1">
      <c r="I429" s="121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22"/>
    </row>
    <row r="430" ht="15.75" customHeight="1">
      <c r="I430" s="121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22"/>
    </row>
    <row r="431" ht="15.75" customHeight="1">
      <c r="I431" s="121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22"/>
    </row>
    <row r="432" ht="15.75" customHeight="1">
      <c r="I432" s="121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22"/>
    </row>
    <row r="433" ht="15.75" customHeight="1">
      <c r="I433" s="121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22"/>
    </row>
    <row r="434" ht="15.75" customHeight="1">
      <c r="I434" s="121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22"/>
    </row>
    <row r="435" ht="15.75" customHeight="1">
      <c r="I435" s="121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22"/>
    </row>
    <row r="436" ht="15.75" customHeight="1">
      <c r="I436" s="121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22"/>
    </row>
    <row r="437" ht="15.75" customHeight="1">
      <c r="I437" s="121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22"/>
    </row>
    <row r="438" ht="15.75" customHeight="1">
      <c r="I438" s="121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22"/>
    </row>
    <row r="439" ht="15.75" customHeight="1">
      <c r="I439" s="121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22"/>
    </row>
    <row r="440" ht="15.75" customHeight="1">
      <c r="I440" s="121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22"/>
    </row>
    <row r="441" ht="15.75" customHeight="1">
      <c r="I441" s="121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22"/>
    </row>
    <row r="442" ht="15.75" customHeight="1">
      <c r="I442" s="121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22"/>
    </row>
    <row r="443" ht="15.75" customHeight="1">
      <c r="I443" s="121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22"/>
    </row>
    <row r="444" ht="15.75" customHeight="1">
      <c r="I444" s="121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22"/>
    </row>
    <row r="445" ht="15.75" customHeight="1">
      <c r="I445" s="121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22"/>
    </row>
    <row r="446" ht="15.75" customHeight="1">
      <c r="I446" s="121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22"/>
    </row>
    <row r="447" ht="15.75" customHeight="1">
      <c r="I447" s="121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22"/>
    </row>
    <row r="448" ht="15.75" customHeight="1">
      <c r="I448" s="121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22"/>
    </row>
    <row r="449" ht="15.75" customHeight="1">
      <c r="I449" s="121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22"/>
    </row>
    <row r="450" ht="15.75" customHeight="1">
      <c r="I450" s="121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22"/>
    </row>
    <row r="451" ht="15.75" customHeight="1">
      <c r="I451" s="121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22"/>
    </row>
    <row r="452" ht="15.75" customHeight="1">
      <c r="I452" s="121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22"/>
    </row>
    <row r="453" ht="15.75" customHeight="1">
      <c r="I453" s="121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22"/>
    </row>
    <row r="454" ht="15.75" customHeight="1">
      <c r="I454" s="121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22"/>
    </row>
    <row r="455" ht="15.75" customHeight="1">
      <c r="I455" s="121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22"/>
    </row>
    <row r="456" ht="15.75" customHeight="1">
      <c r="I456" s="121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22"/>
    </row>
    <row r="457" ht="15.75" customHeight="1">
      <c r="I457" s="121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22"/>
    </row>
    <row r="458" ht="15.75" customHeight="1">
      <c r="I458" s="121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22"/>
    </row>
    <row r="459" ht="15.75" customHeight="1">
      <c r="I459" s="121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22"/>
    </row>
    <row r="460" ht="15.75" customHeight="1">
      <c r="I460" s="121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22"/>
    </row>
    <row r="461" ht="15.75" customHeight="1">
      <c r="I461" s="121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22"/>
    </row>
    <row r="462" ht="15.75" customHeight="1">
      <c r="I462" s="121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22"/>
    </row>
    <row r="463" ht="15.75" customHeight="1">
      <c r="I463" s="121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22"/>
    </row>
    <row r="464" ht="15.75" customHeight="1">
      <c r="I464" s="121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22"/>
    </row>
    <row r="465" ht="15.75" customHeight="1">
      <c r="I465" s="121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22"/>
    </row>
    <row r="466" ht="15.75" customHeight="1">
      <c r="I466" s="121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22"/>
    </row>
    <row r="467" ht="15.75" customHeight="1">
      <c r="I467" s="121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22"/>
    </row>
    <row r="468" ht="15.75" customHeight="1">
      <c r="I468" s="121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22"/>
    </row>
    <row r="469" ht="15.75" customHeight="1">
      <c r="I469" s="121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22"/>
    </row>
    <row r="470" ht="15.75" customHeight="1">
      <c r="I470" s="121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22"/>
    </row>
    <row r="471" ht="15.75" customHeight="1">
      <c r="I471" s="121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22"/>
    </row>
    <row r="472" ht="15.75" customHeight="1">
      <c r="I472" s="121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22"/>
    </row>
    <row r="473" ht="15.75" customHeight="1">
      <c r="I473" s="121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22"/>
    </row>
    <row r="474" ht="15.75" customHeight="1">
      <c r="I474" s="121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22"/>
    </row>
    <row r="475" ht="15.75" customHeight="1">
      <c r="I475" s="121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22"/>
    </row>
    <row r="476" ht="15.75" customHeight="1">
      <c r="I476" s="121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22"/>
    </row>
    <row r="477" ht="15.75" customHeight="1">
      <c r="I477" s="121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22"/>
    </row>
    <row r="478" ht="15.75" customHeight="1">
      <c r="I478" s="121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22"/>
    </row>
    <row r="479" ht="15.75" customHeight="1">
      <c r="I479" s="121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22"/>
    </row>
    <row r="480" ht="15.75" customHeight="1">
      <c r="I480" s="121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22"/>
    </row>
    <row r="481" ht="15.75" customHeight="1">
      <c r="I481" s="121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22"/>
    </row>
    <row r="482" ht="15.75" customHeight="1">
      <c r="I482" s="121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22"/>
    </row>
    <row r="483" ht="15.75" customHeight="1">
      <c r="I483" s="121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22"/>
    </row>
    <row r="484" ht="15.75" customHeight="1">
      <c r="I484" s="121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22"/>
    </row>
    <row r="485" ht="15.75" customHeight="1">
      <c r="I485" s="121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22"/>
    </row>
    <row r="486" ht="15.75" customHeight="1">
      <c r="I486" s="121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22"/>
    </row>
    <row r="487" ht="15.75" customHeight="1">
      <c r="I487" s="121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22"/>
    </row>
    <row r="488" ht="15.75" customHeight="1">
      <c r="I488" s="121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22"/>
    </row>
    <row r="489" ht="15.75" customHeight="1">
      <c r="I489" s="121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22"/>
    </row>
    <row r="490" ht="15.75" customHeight="1">
      <c r="I490" s="121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22"/>
    </row>
    <row r="491" ht="15.75" customHeight="1">
      <c r="I491" s="121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22"/>
    </row>
    <row r="492" ht="15.75" customHeight="1">
      <c r="I492" s="121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22"/>
    </row>
    <row r="493" ht="15.75" customHeight="1">
      <c r="I493" s="121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22"/>
    </row>
    <row r="494" ht="15.75" customHeight="1">
      <c r="I494" s="121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22"/>
    </row>
    <row r="495" ht="15.75" customHeight="1">
      <c r="I495" s="121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22"/>
    </row>
    <row r="496" ht="15.75" customHeight="1">
      <c r="I496" s="121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22"/>
    </row>
    <row r="497" ht="15.75" customHeight="1">
      <c r="I497" s="121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22"/>
    </row>
    <row r="498" ht="15.75" customHeight="1">
      <c r="I498" s="121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22"/>
    </row>
    <row r="499" ht="15.75" customHeight="1">
      <c r="I499" s="121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22"/>
    </row>
    <row r="500" ht="15.75" customHeight="1">
      <c r="I500" s="121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22"/>
    </row>
    <row r="501" ht="15.75" customHeight="1">
      <c r="I501" s="121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22"/>
    </row>
    <row r="502" ht="15.75" customHeight="1">
      <c r="I502" s="121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22"/>
    </row>
    <row r="503" ht="15.75" customHeight="1">
      <c r="I503" s="121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22"/>
    </row>
    <row r="504" ht="15.75" customHeight="1">
      <c r="I504" s="121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22"/>
    </row>
    <row r="505" ht="15.75" customHeight="1">
      <c r="I505" s="121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22"/>
    </row>
    <row r="506" ht="15.75" customHeight="1">
      <c r="I506" s="121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22"/>
    </row>
    <row r="507" ht="15.75" customHeight="1">
      <c r="I507" s="121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22"/>
    </row>
    <row r="508" ht="15.75" customHeight="1">
      <c r="I508" s="121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22"/>
    </row>
    <row r="509" ht="15.75" customHeight="1">
      <c r="I509" s="121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22"/>
    </row>
    <row r="510" ht="15.75" customHeight="1">
      <c r="I510" s="121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22"/>
    </row>
    <row r="511" ht="15.75" customHeight="1">
      <c r="I511" s="121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22"/>
    </row>
    <row r="512" ht="15.75" customHeight="1">
      <c r="I512" s="121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22"/>
    </row>
    <row r="513" ht="15.75" customHeight="1">
      <c r="I513" s="121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22"/>
    </row>
    <row r="514" ht="15.75" customHeight="1">
      <c r="I514" s="121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22"/>
    </row>
    <row r="515" ht="15.75" customHeight="1">
      <c r="I515" s="121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22"/>
    </row>
    <row r="516" ht="15.75" customHeight="1">
      <c r="I516" s="121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22"/>
    </row>
    <row r="517" ht="15.75" customHeight="1">
      <c r="I517" s="121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22"/>
    </row>
    <row r="518" ht="15.75" customHeight="1">
      <c r="I518" s="121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22"/>
    </row>
    <row r="519" ht="15.75" customHeight="1">
      <c r="I519" s="121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22"/>
    </row>
    <row r="520" ht="15.75" customHeight="1">
      <c r="I520" s="121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22"/>
    </row>
    <row r="521" ht="15.75" customHeight="1">
      <c r="I521" s="121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22"/>
    </row>
    <row r="522" ht="15.75" customHeight="1">
      <c r="I522" s="121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22"/>
    </row>
    <row r="523" ht="15.75" customHeight="1">
      <c r="I523" s="121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22"/>
    </row>
    <row r="524" ht="15.75" customHeight="1">
      <c r="I524" s="121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22"/>
    </row>
    <row r="525" ht="15.75" customHeight="1">
      <c r="I525" s="121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22"/>
    </row>
    <row r="526" ht="15.75" customHeight="1">
      <c r="I526" s="121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22"/>
    </row>
    <row r="527" ht="15.75" customHeight="1">
      <c r="I527" s="121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22"/>
    </row>
    <row r="528" ht="15.75" customHeight="1">
      <c r="I528" s="121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22"/>
    </row>
    <row r="529" ht="15.75" customHeight="1">
      <c r="I529" s="121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22"/>
    </row>
    <row r="530" ht="15.75" customHeight="1">
      <c r="I530" s="121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22"/>
    </row>
    <row r="531" ht="15.75" customHeight="1">
      <c r="I531" s="121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22"/>
    </row>
    <row r="532" ht="15.75" customHeight="1">
      <c r="I532" s="121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22"/>
    </row>
    <row r="533" ht="15.75" customHeight="1">
      <c r="I533" s="121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22"/>
    </row>
    <row r="534" ht="15.75" customHeight="1">
      <c r="I534" s="121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22"/>
    </row>
    <row r="535" ht="15.75" customHeight="1">
      <c r="I535" s="121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22"/>
    </row>
    <row r="536" ht="15.75" customHeight="1">
      <c r="I536" s="121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22"/>
    </row>
    <row r="537" ht="15.75" customHeight="1">
      <c r="I537" s="121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22"/>
    </row>
    <row r="538" ht="15.75" customHeight="1">
      <c r="I538" s="121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22"/>
    </row>
    <row r="539" ht="15.75" customHeight="1">
      <c r="I539" s="121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22"/>
    </row>
    <row r="540" ht="15.75" customHeight="1">
      <c r="I540" s="121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22"/>
    </row>
    <row r="541" ht="15.75" customHeight="1">
      <c r="I541" s="121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22"/>
    </row>
    <row r="542" ht="15.75" customHeight="1">
      <c r="I542" s="121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22"/>
    </row>
    <row r="543" ht="15.75" customHeight="1">
      <c r="I543" s="121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22"/>
    </row>
    <row r="544" ht="15.75" customHeight="1">
      <c r="I544" s="121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22"/>
    </row>
    <row r="545" ht="15.75" customHeight="1">
      <c r="I545" s="121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22"/>
    </row>
    <row r="546" ht="15.75" customHeight="1">
      <c r="I546" s="121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22"/>
    </row>
    <row r="547" ht="15.75" customHeight="1">
      <c r="I547" s="121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22"/>
    </row>
    <row r="548" ht="15.75" customHeight="1">
      <c r="I548" s="121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22"/>
    </row>
    <row r="549" ht="15.75" customHeight="1">
      <c r="I549" s="121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22"/>
    </row>
    <row r="550" ht="15.75" customHeight="1">
      <c r="I550" s="121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22"/>
    </row>
    <row r="551" ht="15.75" customHeight="1">
      <c r="I551" s="121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22"/>
    </row>
    <row r="552" ht="15.75" customHeight="1">
      <c r="I552" s="121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22"/>
    </row>
    <row r="553" ht="15.75" customHeight="1">
      <c r="I553" s="121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22"/>
    </row>
    <row r="554" ht="15.75" customHeight="1">
      <c r="I554" s="121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22"/>
    </row>
    <row r="555" ht="15.75" customHeight="1">
      <c r="I555" s="121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22"/>
    </row>
    <row r="556" ht="15.75" customHeight="1">
      <c r="I556" s="121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22"/>
    </row>
    <row r="557" ht="15.75" customHeight="1">
      <c r="I557" s="121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22"/>
    </row>
    <row r="558" ht="15.75" customHeight="1">
      <c r="I558" s="121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22"/>
    </row>
    <row r="559" ht="15.75" customHeight="1">
      <c r="I559" s="121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22"/>
    </row>
    <row r="560" ht="15.75" customHeight="1">
      <c r="I560" s="121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22"/>
    </row>
    <row r="561" ht="15.75" customHeight="1">
      <c r="I561" s="121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22"/>
    </row>
    <row r="562" ht="15.75" customHeight="1">
      <c r="I562" s="121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22"/>
    </row>
    <row r="563" ht="15.75" customHeight="1">
      <c r="I563" s="121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22"/>
    </row>
    <row r="564" ht="15.75" customHeight="1">
      <c r="I564" s="121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22"/>
    </row>
    <row r="565" ht="15.75" customHeight="1">
      <c r="I565" s="121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22"/>
    </row>
    <row r="566" ht="15.75" customHeight="1">
      <c r="I566" s="121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22"/>
    </row>
    <row r="567" ht="15.75" customHeight="1">
      <c r="I567" s="121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22"/>
    </row>
    <row r="568" ht="15.75" customHeight="1">
      <c r="I568" s="121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22"/>
    </row>
    <row r="569" ht="15.75" customHeight="1">
      <c r="I569" s="121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22"/>
    </row>
    <row r="570" ht="15.75" customHeight="1">
      <c r="I570" s="121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22"/>
    </row>
    <row r="571" ht="15.75" customHeight="1">
      <c r="I571" s="121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22"/>
    </row>
    <row r="572" ht="15.75" customHeight="1">
      <c r="I572" s="121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22"/>
    </row>
    <row r="573" ht="15.75" customHeight="1">
      <c r="I573" s="121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22"/>
    </row>
    <row r="574" ht="15.75" customHeight="1">
      <c r="I574" s="121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22"/>
    </row>
    <row r="575" ht="15.75" customHeight="1">
      <c r="I575" s="121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22"/>
    </row>
    <row r="576" ht="15.75" customHeight="1">
      <c r="I576" s="121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22"/>
    </row>
    <row r="577" ht="15.75" customHeight="1">
      <c r="I577" s="121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22"/>
    </row>
    <row r="578" ht="15.75" customHeight="1">
      <c r="I578" s="121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22"/>
    </row>
    <row r="579" ht="15.75" customHeight="1">
      <c r="I579" s="121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22"/>
    </row>
    <row r="580" ht="15.75" customHeight="1">
      <c r="I580" s="121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22"/>
    </row>
    <row r="581" ht="15.75" customHeight="1">
      <c r="I581" s="121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22"/>
    </row>
    <row r="582" ht="15.75" customHeight="1">
      <c r="I582" s="121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22"/>
    </row>
    <row r="583" ht="15.75" customHeight="1">
      <c r="I583" s="121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22"/>
    </row>
    <row r="584" ht="15.75" customHeight="1">
      <c r="I584" s="121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22"/>
    </row>
    <row r="585" ht="15.75" customHeight="1">
      <c r="I585" s="121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22"/>
    </row>
    <row r="586" ht="15.75" customHeight="1">
      <c r="I586" s="121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22"/>
    </row>
    <row r="587" ht="15.75" customHeight="1">
      <c r="I587" s="121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22"/>
    </row>
    <row r="588" ht="15.75" customHeight="1">
      <c r="I588" s="121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22"/>
    </row>
    <row r="589" ht="15.75" customHeight="1">
      <c r="I589" s="121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22"/>
    </row>
    <row r="590" ht="15.75" customHeight="1">
      <c r="I590" s="121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22"/>
    </row>
    <row r="591" ht="15.75" customHeight="1">
      <c r="I591" s="121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22"/>
    </row>
    <row r="592" ht="15.75" customHeight="1">
      <c r="I592" s="121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22"/>
    </row>
    <row r="593" ht="15.75" customHeight="1">
      <c r="I593" s="121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22"/>
    </row>
    <row r="594" ht="15.75" customHeight="1">
      <c r="I594" s="121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22"/>
    </row>
    <row r="595" ht="15.75" customHeight="1">
      <c r="I595" s="121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22"/>
    </row>
    <row r="596" ht="15.75" customHeight="1">
      <c r="I596" s="121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22"/>
    </row>
    <row r="597" ht="15.75" customHeight="1">
      <c r="I597" s="121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22"/>
    </row>
    <row r="598" ht="15.75" customHeight="1">
      <c r="I598" s="121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22"/>
    </row>
    <row r="599" ht="15.75" customHeight="1">
      <c r="I599" s="121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22"/>
    </row>
    <row r="600" ht="15.75" customHeight="1">
      <c r="I600" s="121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22"/>
    </row>
    <row r="601" ht="15.75" customHeight="1">
      <c r="I601" s="121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22"/>
    </row>
    <row r="602" ht="15.75" customHeight="1">
      <c r="I602" s="121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22"/>
    </row>
    <row r="603" ht="15.75" customHeight="1">
      <c r="I603" s="121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22"/>
    </row>
    <row r="604" ht="15.75" customHeight="1">
      <c r="I604" s="121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22"/>
    </row>
    <row r="605" ht="15.75" customHeight="1">
      <c r="I605" s="121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22"/>
    </row>
    <row r="606" ht="15.75" customHeight="1">
      <c r="I606" s="121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22"/>
    </row>
    <row r="607" ht="15.75" customHeight="1">
      <c r="I607" s="121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22"/>
    </row>
    <row r="608" ht="15.75" customHeight="1">
      <c r="I608" s="121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22"/>
    </row>
    <row r="609" ht="15.75" customHeight="1">
      <c r="I609" s="121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22"/>
    </row>
    <row r="610" ht="15.75" customHeight="1">
      <c r="I610" s="121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22"/>
    </row>
    <row r="611" ht="15.75" customHeight="1">
      <c r="I611" s="121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22"/>
    </row>
    <row r="612" ht="15.75" customHeight="1">
      <c r="I612" s="121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22"/>
    </row>
    <row r="613" ht="15.75" customHeight="1">
      <c r="I613" s="121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22"/>
    </row>
    <row r="614" ht="15.75" customHeight="1">
      <c r="I614" s="121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22"/>
    </row>
    <row r="615" ht="15.75" customHeight="1">
      <c r="I615" s="121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22"/>
    </row>
    <row r="616" ht="15.75" customHeight="1">
      <c r="I616" s="121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22"/>
    </row>
    <row r="617" ht="15.75" customHeight="1">
      <c r="I617" s="121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22"/>
    </row>
    <row r="618" ht="15.75" customHeight="1">
      <c r="I618" s="121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22"/>
    </row>
    <row r="619" ht="15.75" customHeight="1">
      <c r="I619" s="121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22"/>
    </row>
    <row r="620" ht="15.75" customHeight="1">
      <c r="I620" s="121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22"/>
    </row>
    <row r="621" ht="15.75" customHeight="1">
      <c r="I621" s="121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22"/>
    </row>
    <row r="622" ht="15.75" customHeight="1">
      <c r="I622" s="121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22"/>
    </row>
    <row r="623" ht="15.75" customHeight="1">
      <c r="I623" s="121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22"/>
    </row>
    <row r="624" ht="15.75" customHeight="1">
      <c r="I624" s="121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22"/>
    </row>
    <row r="625" ht="15.75" customHeight="1">
      <c r="I625" s="121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22"/>
    </row>
    <row r="626" ht="15.75" customHeight="1">
      <c r="I626" s="121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22"/>
    </row>
    <row r="627" ht="15.75" customHeight="1">
      <c r="I627" s="121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22"/>
    </row>
    <row r="628" ht="15.75" customHeight="1">
      <c r="I628" s="121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22"/>
    </row>
    <row r="629" ht="15.75" customHeight="1">
      <c r="I629" s="121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22"/>
    </row>
    <row r="630" ht="15.75" customHeight="1">
      <c r="I630" s="121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22"/>
    </row>
    <row r="631" ht="15.75" customHeight="1">
      <c r="I631" s="121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22"/>
    </row>
    <row r="632" ht="15.75" customHeight="1">
      <c r="I632" s="121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22"/>
    </row>
    <row r="633" ht="15.75" customHeight="1">
      <c r="I633" s="121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22"/>
    </row>
    <row r="634" ht="15.75" customHeight="1">
      <c r="I634" s="121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22"/>
    </row>
    <row r="635" ht="15.75" customHeight="1">
      <c r="I635" s="121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22"/>
    </row>
    <row r="636" ht="15.75" customHeight="1">
      <c r="I636" s="121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22"/>
    </row>
    <row r="637" ht="15.75" customHeight="1">
      <c r="I637" s="121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22"/>
    </row>
    <row r="638" ht="15.75" customHeight="1">
      <c r="I638" s="121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22"/>
    </row>
    <row r="639" ht="15.75" customHeight="1">
      <c r="I639" s="121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22"/>
    </row>
    <row r="640" ht="15.75" customHeight="1">
      <c r="I640" s="121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22"/>
    </row>
    <row r="641" ht="15.75" customHeight="1">
      <c r="I641" s="121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22"/>
    </row>
    <row r="642" ht="15.75" customHeight="1">
      <c r="I642" s="121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22"/>
    </row>
    <row r="643" ht="15.75" customHeight="1">
      <c r="I643" s="121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22"/>
    </row>
    <row r="644" ht="15.75" customHeight="1">
      <c r="I644" s="121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22"/>
    </row>
    <row r="645" ht="15.75" customHeight="1">
      <c r="I645" s="121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22"/>
    </row>
    <row r="646" ht="15.75" customHeight="1">
      <c r="I646" s="121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22"/>
    </row>
    <row r="647" ht="15.75" customHeight="1">
      <c r="I647" s="121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22"/>
    </row>
    <row r="648" ht="15.75" customHeight="1">
      <c r="I648" s="121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22"/>
    </row>
    <row r="649" ht="15.75" customHeight="1">
      <c r="I649" s="121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22"/>
    </row>
    <row r="650" ht="15.75" customHeight="1">
      <c r="I650" s="121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22"/>
    </row>
    <row r="651" ht="15.75" customHeight="1">
      <c r="I651" s="121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22"/>
    </row>
    <row r="652" ht="15.75" customHeight="1">
      <c r="I652" s="121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22"/>
    </row>
    <row r="653" ht="15.75" customHeight="1">
      <c r="I653" s="121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22"/>
    </row>
    <row r="654" ht="15.75" customHeight="1">
      <c r="I654" s="121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22"/>
    </row>
    <row r="655" ht="15.75" customHeight="1">
      <c r="I655" s="121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22"/>
    </row>
    <row r="656" ht="15.75" customHeight="1">
      <c r="I656" s="121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22"/>
    </row>
    <row r="657" ht="15.75" customHeight="1">
      <c r="I657" s="121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22"/>
    </row>
    <row r="658" ht="15.75" customHeight="1">
      <c r="I658" s="121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22"/>
    </row>
    <row r="659" ht="15.75" customHeight="1">
      <c r="I659" s="121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22"/>
    </row>
    <row r="660" ht="15.75" customHeight="1">
      <c r="I660" s="121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22"/>
    </row>
    <row r="661" ht="15.75" customHeight="1">
      <c r="I661" s="121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22"/>
    </row>
    <row r="662" ht="15.75" customHeight="1">
      <c r="I662" s="121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22"/>
    </row>
    <row r="663" ht="15.75" customHeight="1">
      <c r="I663" s="121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22"/>
    </row>
    <row r="664" ht="15.75" customHeight="1">
      <c r="I664" s="121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22"/>
    </row>
    <row r="665" ht="15.75" customHeight="1">
      <c r="I665" s="121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22"/>
    </row>
    <row r="666" ht="15.75" customHeight="1">
      <c r="I666" s="121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22"/>
    </row>
    <row r="667" ht="15.75" customHeight="1">
      <c r="I667" s="121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22"/>
    </row>
    <row r="668" ht="15.75" customHeight="1">
      <c r="I668" s="121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22"/>
    </row>
    <row r="669" ht="15.75" customHeight="1">
      <c r="I669" s="121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22"/>
    </row>
    <row r="670" ht="15.75" customHeight="1">
      <c r="I670" s="121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22"/>
    </row>
    <row r="671" ht="15.75" customHeight="1">
      <c r="I671" s="121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22"/>
    </row>
    <row r="672" ht="15.75" customHeight="1">
      <c r="I672" s="121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22"/>
    </row>
    <row r="673" ht="15.75" customHeight="1">
      <c r="I673" s="121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22"/>
    </row>
    <row r="674" ht="15.75" customHeight="1">
      <c r="I674" s="121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22"/>
    </row>
    <row r="675" ht="15.75" customHeight="1">
      <c r="I675" s="121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22"/>
    </row>
    <row r="676" ht="15.75" customHeight="1">
      <c r="I676" s="121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22"/>
    </row>
    <row r="677" ht="15.75" customHeight="1">
      <c r="I677" s="121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22"/>
    </row>
    <row r="678" ht="15.75" customHeight="1">
      <c r="I678" s="121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22"/>
    </row>
    <row r="679" ht="15.75" customHeight="1">
      <c r="I679" s="121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22"/>
    </row>
    <row r="680" ht="15.75" customHeight="1">
      <c r="I680" s="121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22"/>
    </row>
    <row r="681" ht="15.75" customHeight="1">
      <c r="I681" s="121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22"/>
    </row>
    <row r="682" ht="15.75" customHeight="1">
      <c r="I682" s="121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22"/>
    </row>
    <row r="683" ht="15.75" customHeight="1">
      <c r="I683" s="121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22"/>
    </row>
    <row r="684" ht="15.75" customHeight="1">
      <c r="I684" s="121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22"/>
    </row>
    <row r="685" ht="15.75" customHeight="1">
      <c r="I685" s="121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22"/>
    </row>
    <row r="686" ht="15.75" customHeight="1">
      <c r="I686" s="121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22"/>
    </row>
    <row r="687" ht="15.75" customHeight="1">
      <c r="I687" s="121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22"/>
    </row>
    <row r="688" ht="15.75" customHeight="1">
      <c r="I688" s="121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22"/>
    </row>
    <row r="689" ht="15.75" customHeight="1">
      <c r="I689" s="121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22"/>
    </row>
    <row r="690" ht="15.75" customHeight="1">
      <c r="I690" s="121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22"/>
    </row>
    <row r="691" ht="15.75" customHeight="1">
      <c r="I691" s="121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22"/>
    </row>
    <row r="692" ht="15.75" customHeight="1">
      <c r="I692" s="121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22"/>
    </row>
    <row r="693" ht="15.75" customHeight="1">
      <c r="I693" s="121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22"/>
    </row>
    <row r="694" ht="15.75" customHeight="1">
      <c r="I694" s="121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22"/>
    </row>
    <row r="695" ht="15.75" customHeight="1">
      <c r="I695" s="121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22"/>
    </row>
    <row r="696" ht="15.75" customHeight="1">
      <c r="I696" s="121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22"/>
    </row>
    <row r="697" ht="15.75" customHeight="1">
      <c r="I697" s="121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22"/>
    </row>
    <row r="698" ht="15.75" customHeight="1">
      <c r="I698" s="121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22"/>
    </row>
    <row r="699" ht="15.75" customHeight="1">
      <c r="I699" s="121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22"/>
    </row>
    <row r="700" ht="15.75" customHeight="1">
      <c r="I700" s="121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22"/>
    </row>
    <row r="701" ht="15.75" customHeight="1">
      <c r="I701" s="121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22"/>
    </row>
    <row r="702" ht="15.75" customHeight="1">
      <c r="I702" s="121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22"/>
    </row>
    <row r="703" ht="15.75" customHeight="1">
      <c r="I703" s="121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22"/>
    </row>
    <row r="704" ht="15.75" customHeight="1">
      <c r="I704" s="121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22"/>
    </row>
    <row r="705" ht="15.75" customHeight="1">
      <c r="I705" s="121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22"/>
    </row>
    <row r="706" ht="15.75" customHeight="1">
      <c r="I706" s="121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22"/>
    </row>
    <row r="707" ht="15.75" customHeight="1">
      <c r="I707" s="121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22"/>
    </row>
    <row r="708" ht="15.75" customHeight="1">
      <c r="I708" s="121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22"/>
    </row>
    <row r="709" ht="15.75" customHeight="1">
      <c r="I709" s="121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22"/>
    </row>
    <row r="710" ht="15.75" customHeight="1">
      <c r="I710" s="121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22"/>
    </row>
    <row r="711" ht="15.75" customHeight="1">
      <c r="I711" s="121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22"/>
    </row>
    <row r="712" ht="15.75" customHeight="1">
      <c r="I712" s="121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22"/>
    </row>
    <row r="713" ht="15.75" customHeight="1">
      <c r="I713" s="121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22"/>
    </row>
    <row r="714" ht="15.75" customHeight="1">
      <c r="I714" s="121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22"/>
    </row>
    <row r="715" ht="15.75" customHeight="1">
      <c r="I715" s="121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22"/>
    </row>
    <row r="716" ht="15.75" customHeight="1">
      <c r="I716" s="121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22"/>
    </row>
    <row r="717" ht="15.75" customHeight="1">
      <c r="I717" s="121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22"/>
    </row>
    <row r="718" ht="15.75" customHeight="1">
      <c r="I718" s="121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22"/>
    </row>
    <row r="719" ht="15.75" customHeight="1">
      <c r="I719" s="121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22"/>
    </row>
    <row r="720" ht="15.75" customHeight="1">
      <c r="I720" s="121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22"/>
    </row>
    <row r="721" ht="15.75" customHeight="1">
      <c r="I721" s="121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22"/>
    </row>
    <row r="722" ht="15.75" customHeight="1">
      <c r="I722" s="121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22"/>
    </row>
    <row r="723" ht="15.75" customHeight="1">
      <c r="I723" s="121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22"/>
    </row>
    <row r="724" ht="15.75" customHeight="1">
      <c r="I724" s="121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22"/>
    </row>
    <row r="725" ht="15.75" customHeight="1">
      <c r="I725" s="121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22"/>
    </row>
    <row r="726" ht="15.75" customHeight="1">
      <c r="I726" s="121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22"/>
    </row>
    <row r="727" ht="15.75" customHeight="1">
      <c r="I727" s="121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22"/>
    </row>
    <row r="728" ht="15.75" customHeight="1">
      <c r="I728" s="121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22"/>
    </row>
    <row r="729" ht="15.75" customHeight="1">
      <c r="I729" s="121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22"/>
    </row>
    <row r="730" ht="15.75" customHeight="1">
      <c r="I730" s="121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22"/>
    </row>
    <row r="731" ht="15.75" customHeight="1">
      <c r="I731" s="121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22"/>
    </row>
    <row r="732" ht="15.75" customHeight="1">
      <c r="I732" s="121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22"/>
    </row>
    <row r="733" ht="15.75" customHeight="1">
      <c r="I733" s="121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22"/>
    </row>
    <row r="734" ht="15.75" customHeight="1">
      <c r="I734" s="121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22"/>
    </row>
    <row r="735" ht="15.75" customHeight="1">
      <c r="I735" s="121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22"/>
    </row>
    <row r="736" ht="15.75" customHeight="1">
      <c r="I736" s="121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22"/>
    </row>
    <row r="737" ht="15.75" customHeight="1">
      <c r="I737" s="121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22"/>
    </row>
    <row r="738" ht="15.75" customHeight="1">
      <c r="I738" s="121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22"/>
    </row>
    <row r="739" ht="15.75" customHeight="1">
      <c r="I739" s="121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22"/>
    </row>
    <row r="740" ht="15.75" customHeight="1">
      <c r="I740" s="121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22"/>
    </row>
    <row r="741" ht="15.75" customHeight="1">
      <c r="I741" s="121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22"/>
    </row>
    <row r="742" ht="15.75" customHeight="1">
      <c r="I742" s="121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22"/>
    </row>
    <row r="743" ht="15.75" customHeight="1">
      <c r="I743" s="121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22"/>
    </row>
    <row r="744" ht="15.75" customHeight="1">
      <c r="I744" s="121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22"/>
    </row>
    <row r="745" ht="15.75" customHeight="1">
      <c r="I745" s="121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22"/>
    </row>
    <row r="746" ht="15.75" customHeight="1">
      <c r="I746" s="121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22"/>
    </row>
    <row r="747" ht="15.75" customHeight="1">
      <c r="I747" s="121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22"/>
    </row>
    <row r="748" ht="15.75" customHeight="1">
      <c r="I748" s="121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22"/>
    </row>
    <row r="749" ht="15.75" customHeight="1">
      <c r="I749" s="121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22"/>
    </row>
    <row r="750" ht="15.75" customHeight="1">
      <c r="I750" s="121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22"/>
    </row>
    <row r="751" ht="15.75" customHeight="1">
      <c r="I751" s="121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22"/>
    </row>
    <row r="752" ht="15.75" customHeight="1">
      <c r="I752" s="121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22"/>
    </row>
    <row r="753" ht="15.75" customHeight="1">
      <c r="I753" s="121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22"/>
    </row>
    <row r="754" ht="15.75" customHeight="1">
      <c r="I754" s="121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22"/>
    </row>
    <row r="755" ht="15.75" customHeight="1">
      <c r="I755" s="121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22"/>
    </row>
    <row r="756" ht="15.75" customHeight="1">
      <c r="I756" s="121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22"/>
    </row>
    <row r="757" ht="15.75" customHeight="1">
      <c r="I757" s="121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22"/>
    </row>
    <row r="758" ht="15.75" customHeight="1">
      <c r="I758" s="121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22"/>
    </row>
    <row r="759" ht="15.75" customHeight="1">
      <c r="I759" s="121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22"/>
    </row>
    <row r="760" ht="15.75" customHeight="1">
      <c r="I760" s="121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22"/>
    </row>
    <row r="761" ht="15.75" customHeight="1">
      <c r="I761" s="121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22"/>
    </row>
    <row r="762" ht="15.75" customHeight="1">
      <c r="I762" s="121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22"/>
    </row>
    <row r="763" ht="15.75" customHeight="1">
      <c r="I763" s="121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22"/>
    </row>
    <row r="764" ht="15.75" customHeight="1">
      <c r="I764" s="121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22"/>
    </row>
    <row r="765" ht="15.75" customHeight="1">
      <c r="I765" s="121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22"/>
    </row>
    <row r="766" ht="15.75" customHeight="1">
      <c r="I766" s="121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22"/>
    </row>
    <row r="767" ht="15.75" customHeight="1">
      <c r="I767" s="121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22"/>
    </row>
    <row r="768" ht="15.75" customHeight="1">
      <c r="I768" s="121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22"/>
    </row>
    <row r="769" ht="15.75" customHeight="1">
      <c r="I769" s="121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22"/>
    </row>
    <row r="770" ht="15.75" customHeight="1">
      <c r="I770" s="121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22"/>
    </row>
    <row r="771" ht="15.75" customHeight="1">
      <c r="I771" s="121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22"/>
    </row>
    <row r="772" ht="15.75" customHeight="1">
      <c r="I772" s="121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22"/>
    </row>
    <row r="773" ht="15.75" customHeight="1">
      <c r="I773" s="121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22"/>
    </row>
    <row r="774" ht="15.75" customHeight="1">
      <c r="I774" s="121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22"/>
    </row>
    <row r="775" ht="15.75" customHeight="1">
      <c r="I775" s="121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22"/>
    </row>
    <row r="776" ht="15.75" customHeight="1">
      <c r="I776" s="121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22"/>
    </row>
    <row r="777" ht="15.75" customHeight="1">
      <c r="I777" s="121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22"/>
    </row>
    <row r="778" ht="15.75" customHeight="1">
      <c r="I778" s="121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22"/>
    </row>
    <row r="779" ht="15.75" customHeight="1">
      <c r="I779" s="121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22"/>
    </row>
    <row r="780" ht="15.75" customHeight="1">
      <c r="I780" s="121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22"/>
    </row>
    <row r="781" ht="15.75" customHeight="1">
      <c r="I781" s="121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22"/>
    </row>
    <row r="782" ht="15.75" customHeight="1">
      <c r="I782" s="121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22"/>
    </row>
    <row r="783" ht="15.75" customHeight="1">
      <c r="I783" s="121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22"/>
    </row>
    <row r="784" ht="15.75" customHeight="1">
      <c r="I784" s="121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22"/>
    </row>
    <row r="785" ht="15.75" customHeight="1">
      <c r="I785" s="121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22"/>
    </row>
    <row r="786" ht="15.75" customHeight="1">
      <c r="I786" s="121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22"/>
    </row>
    <row r="787" ht="15.75" customHeight="1">
      <c r="I787" s="121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22"/>
    </row>
    <row r="788" ht="15.75" customHeight="1">
      <c r="I788" s="121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22"/>
    </row>
    <row r="789" ht="15.75" customHeight="1">
      <c r="I789" s="121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22"/>
    </row>
    <row r="790" ht="15.75" customHeight="1">
      <c r="I790" s="121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22"/>
    </row>
    <row r="791" ht="15.75" customHeight="1">
      <c r="I791" s="121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22"/>
    </row>
    <row r="792" ht="15.75" customHeight="1">
      <c r="I792" s="121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22"/>
    </row>
    <row r="793" ht="15.75" customHeight="1">
      <c r="I793" s="121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22"/>
    </row>
    <row r="794" ht="15.75" customHeight="1">
      <c r="I794" s="121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22"/>
    </row>
    <row r="795" ht="15.75" customHeight="1">
      <c r="I795" s="121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22"/>
    </row>
    <row r="796" ht="15.75" customHeight="1">
      <c r="I796" s="121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22"/>
    </row>
    <row r="797" ht="15.75" customHeight="1">
      <c r="I797" s="121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22"/>
    </row>
    <row r="798" ht="15.75" customHeight="1">
      <c r="I798" s="121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22"/>
    </row>
    <row r="799" ht="15.75" customHeight="1">
      <c r="I799" s="121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22"/>
    </row>
    <row r="800" ht="15.75" customHeight="1">
      <c r="I800" s="121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22"/>
    </row>
    <row r="801" ht="15.75" customHeight="1">
      <c r="I801" s="121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22"/>
    </row>
    <row r="802" ht="15.75" customHeight="1">
      <c r="I802" s="121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22"/>
    </row>
    <row r="803" ht="15.75" customHeight="1">
      <c r="I803" s="121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22"/>
    </row>
    <row r="804" ht="15.75" customHeight="1">
      <c r="I804" s="121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22"/>
    </row>
    <row r="805" ht="15.75" customHeight="1">
      <c r="I805" s="121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22"/>
    </row>
    <row r="806" ht="15.75" customHeight="1">
      <c r="I806" s="121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22"/>
    </row>
    <row r="807" ht="15.75" customHeight="1">
      <c r="I807" s="121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22"/>
    </row>
    <row r="808" ht="15.75" customHeight="1">
      <c r="I808" s="121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22"/>
    </row>
    <row r="809" ht="15.75" customHeight="1">
      <c r="I809" s="121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22"/>
    </row>
    <row r="810" ht="15.75" customHeight="1">
      <c r="I810" s="121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22"/>
    </row>
    <row r="811" ht="15.75" customHeight="1">
      <c r="I811" s="121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22"/>
    </row>
    <row r="812" ht="15.75" customHeight="1">
      <c r="I812" s="121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22"/>
    </row>
    <row r="813" ht="15.75" customHeight="1">
      <c r="I813" s="121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22"/>
    </row>
    <row r="814" ht="15.75" customHeight="1">
      <c r="I814" s="121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22"/>
    </row>
    <row r="815" ht="15.75" customHeight="1">
      <c r="I815" s="121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22"/>
    </row>
    <row r="816" ht="15.75" customHeight="1">
      <c r="I816" s="121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22"/>
    </row>
    <row r="817" ht="15.75" customHeight="1">
      <c r="I817" s="121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22"/>
    </row>
    <row r="818" ht="15.75" customHeight="1">
      <c r="I818" s="121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22"/>
    </row>
    <row r="819" ht="15.75" customHeight="1">
      <c r="I819" s="121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22"/>
    </row>
    <row r="820" ht="15.75" customHeight="1">
      <c r="I820" s="121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22"/>
    </row>
    <row r="821" ht="15.75" customHeight="1">
      <c r="I821" s="121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22"/>
    </row>
    <row r="822" ht="15.75" customHeight="1">
      <c r="I822" s="121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22"/>
    </row>
    <row r="823" ht="15.75" customHeight="1">
      <c r="I823" s="121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22"/>
    </row>
    <row r="824" ht="15.75" customHeight="1">
      <c r="I824" s="121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22"/>
    </row>
    <row r="825" ht="15.75" customHeight="1">
      <c r="I825" s="121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22"/>
    </row>
    <row r="826" ht="15.75" customHeight="1">
      <c r="I826" s="121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22"/>
    </row>
    <row r="827" ht="15.75" customHeight="1">
      <c r="I827" s="121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22"/>
    </row>
    <row r="828" ht="15.75" customHeight="1">
      <c r="I828" s="121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22"/>
    </row>
    <row r="829" ht="15.75" customHeight="1">
      <c r="I829" s="121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22"/>
    </row>
    <row r="830" ht="15.75" customHeight="1">
      <c r="I830" s="121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22"/>
    </row>
    <row r="831" ht="15.75" customHeight="1">
      <c r="I831" s="121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22"/>
    </row>
    <row r="832" ht="15.75" customHeight="1">
      <c r="I832" s="121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22"/>
    </row>
    <row r="833" ht="15.75" customHeight="1">
      <c r="I833" s="121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22"/>
    </row>
    <row r="834" ht="15.75" customHeight="1">
      <c r="I834" s="121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22"/>
    </row>
    <row r="835" ht="15.75" customHeight="1">
      <c r="I835" s="121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22"/>
    </row>
    <row r="836" ht="15.75" customHeight="1">
      <c r="I836" s="121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22"/>
    </row>
    <row r="837" ht="15.75" customHeight="1">
      <c r="I837" s="121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22"/>
    </row>
    <row r="838" ht="15.75" customHeight="1">
      <c r="I838" s="121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22"/>
    </row>
    <row r="839" ht="15.75" customHeight="1">
      <c r="I839" s="121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22"/>
    </row>
    <row r="840" ht="15.75" customHeight="1">
      <c r="I840" s="121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22"/>
    </row>
    <row r="841" ht="15.75" customHeight="1">
      <c r="I841" s="121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22"/>
    </row>
    <row r="842" ht="15.75" customHeight="1">
      <c r="I842" s="121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22"/>
    </row>
    <row r="843" ht="15.75" customHeight="1">
      <c r="I843" s="121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22"/>
    </row>
    <row r="844" ht="15.75" customHeight="1">
      <c r="I844" s="121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22"/>
    </row>
    <row r="845" ht="15.75" customHeight="1">
      <c r="I845" s="121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22"/>
    </row>
    <row r="846" ht="15.75" customHeight="1">
      <c r="I846" s="121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22"/>
    </row>
    <row r="847" ht="15.75" customHeight="1">
      <c r="I847" s="121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22"/>
    </row>
    <row r="848" ht="15.75" customHeight="1">
      <c r="I848" s="121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22"/>
    </row>
    <row r="849" ht="15.75" customHeight="1">
      <c r="I849" s="121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22"/>
    </row>
    <row r="850" ht="15.75" customHeight="1">
      <c r="I850" s="121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22"/>
    </row>
    <row r="851" ht="15.75" customHeight="1">
      <c r="I851" s="121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22"/>
    </row>
    <row r="852" ht="15.75" customHeight="1">
      <c r="I852" s="121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22"/>
    </row>
    <row r="853" ht="15.75" customHeight="1">
      <c r="I853" s="121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22"/>
    </row>
    <row r="854" ht="15.75" customHeight="1">
      <c r="I854" s="121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22"/>
    </row>
    <row r="855" ht="15.75" customHeight="1">
      <c r="I855" s="121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22"/>
    </row>
    <row r="856" ht="15.75" customHeight="1">
      <c r="I856" s="121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22"/>
    </row>
    <row r="857" ht="15.75" customHeight="1">
      <c r="I857" s="121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22"/>
    </row>
    <row r="858" ht="15.75" customHeight="1">
      <c r="I858" s="121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22"/>
    </row>
    <row r="859" ht="15.75" customHeight="1">
      <c r="I859" s="121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22"/>
    </row>
    <row r="860" ht="15.75" customHeight="1">
      <c r="I860" s="121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22"/>
    </row>
    <row r="861" ht="15.75" customHeight="1">
      <c r="I861" s="121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22"/>
    </row>
    <row r="862" ht="15.75" customHeight="1">
      <c r="I862" s="121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22"/>
    </row>
    <row r="863" ht="15.75" customHeight="1">
      <c r="I863" s="121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22"/>
    </row>
    <row r="864" ht="15.75" customHeight="1">
      <c r="I864" s="121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22"/>
    </row>
    <row r="865" ht="15.75" customHeight="1">
      <c r="I865" s="121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22"/>
    </row>
    <row r="866" ht="15.75" customHeight="1">
      <c r="I866" s="121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22"/>
    </row>
    <row r="867" ht="15.75" customHeight="1">
      <c r="I867" s="121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22"/>
    </row>
    <row r="868" ht="15.75" customHeight="1">
      <c r="I868" s="121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22"/>
    </row>
    <row r="869" ht="15.75" customHeight="1">
      <c r="I869" s="121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22"/>
    </row>
    <row r="870" ht="15.75" customHeight="1">
      <c r="I870" s="121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22"/>
    </row>
    <row r="871" ht="15.75" customHeight="1">
      <c r="I871" s="121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22"/>
    </row>
    <row r="872" ht="15.75" customHeight="1">
      <c r="I872" s="121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22"/>
    </row>
    <row r="873" ht="15.75" customHeight="1">
      <c r="I873" s="121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22"/>
    </row>
    <row r="874" ht="15.75" customHeight="1">
      <c r="I874" s="121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22"/>
    </row>
    <row r="875" ht="15.75" customHeight="1">
      <c r="I875" s="121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22"/>
    </row>
    <row r="876" ht="15.75" customHeight="1">
      <c r="I876" s="121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22"/>
    </row>
    <row r="877" ht="15.75" customHeight="1">
      <c r="I877" s="121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22"/>
    </row>
    <row r="878" ht="15.75" customHeight="1">
      <c r="I878" s="121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22"/>
    </row>
    <row r="879" ht="15.75" customHeight="1">
      <c r="I879" s="121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22"/>
    </row>
    <row r="880" ht="15.75" customHeight="1">
      <c r="I880" s="121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22"/>
    </row>
    <row r="881" ht="15.75" customHeight="1">
      <c r="I881" s="121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22"/>
    </row>
    <row r="882" ht="15.75" customHeight="1">
      <c r="I882" s="121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22"/>
    </row>
    <row r="883" ht="15.75" customHeight="1">
      <c r="I883" s="121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22"/>
    </row>
    <row r="884" ht="15.75" customHeight="1">
      <c r="I884" s="121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22"/>
    </row>
    <row r="885" ht="15.75" customHeight="1">
      <c r="I885" s="121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22"/>
    </row>
    <row r="886" ht="15.75" customHeight="1">
      <c r="I886" s="121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22"/>
    </row>
    <row r="887" ht="15.75" customHeight="1">
      <c r="I887" s="121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22"/>
    </row>
    <row r="888" ht="15.75" customHeight="1">
      <c r="I888" s="121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22"/>
    </row>
    <row r="889" ht="15.75" customHeight="1">
      <c r="I889" s="121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22"/>
    </row>
    <row r="890" ht="15.75" customHeight="1">
      <c r="I890" s="121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22"/>
    </row>
    <row r="891" ht="15.75" customHeight="1">
      <c r="I891" s="121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22"/>
    </row>
    <row r="892" ht="15.75" customHeight="1">
      <c r="I892" s="121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22"/>
    </row>
    <row r="893" ht="15.75" customHeight="1">
      <c r="I893" s="121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22"/>
    </row>
    <row r="894" ht="15.75" customHeight="1">
      <c r="I894" s="121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22"/>
    </row>
    <row r="895" ht="15.75" customHeight="1">
      <c r="I895" s="121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22"/>
    </row>
    <row r="896" ht="15.75" customHeight="1">
      <c r="I896" s="121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22"/>
    </row>
    <row r="897" ht="15.75" customHeight="1">
      <c r="I897" s="121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22"/>
    </row>
    <row r="898" ht="15.75" customHeight="1">
      <c r="I898" s="121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22"/>
    </row>
    <row r="899" ht="15.75" customHeight="1">
      <c r="I899" s="121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22"/>
    </row>
    <row r="900" ht="15.75" customHeight="1">
      <c r="I900" s="121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22"/>
    </row>
    <row r="901" ht="15.75" customHeight="1">
      <c r="I901" s="121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22"/>
    </row>
    <row r="902" ht="15.75" customHeight="1">
      <c r="I902" s="121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22"/>
    </row>
    <row r="903" ht="15.75" customHeight="1">
      <c r="I903" s="121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22"/>
    </row>
    <row r="904" ht="15.75" customHeight="1">
      <c r="I904" s="121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22"/>
    </row>
    <row r="905" ht="15.75" customHeight="1">
      <c r="I905" s="121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22"/>
    </row>
    <row r="906" ht="15.75" customHeight="1">
      <c r="I906" s="121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22"/>
    </row>
    <row r="907" ht="15.75" customHeight="1">
      <c r="I907" s="121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22"/>
    </row>
    <row r="908" ht="15.75" customHeight="1">
      <c r="I908" s="121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22"/>
    </row>
    <row r="909" ht="15.75" customHeight="1">
      <c r="I909" s="121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22"/>
    </row>
    <row r="910" ht="15.75" customHeight="1">
      <c r="I910" s="121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22"/>
    </row>
    <row r="911" ht="15.75" customHeight="1">
      <c r="I911" s="121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22"/>
    </row>
    <row r="912" ht="15.75" customHeight="1">
      <c r="I912" s="121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22"/>
    </row>
    <row r="913" ht="15.75" customHeight="1">
      <c r="I913" s="121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22"/>
    </row>
    <row r="914" ht="15.75" customHeight="1">
      <c r="I914" s="121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22"/>
    </row>
    <row r="915" ht="15.75" customHeight="1">
      <c r="I915" s="121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22"/>
    </row>
    <row r="916" ht="15.75" customHeight="1">
      <c r="I916" s="121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22"/>
    </row>
    <row r="917" ht="15.75" customHeight="1">
      <c r="I917" s="121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22"/>
    </row>
    <row r="918" ht="15.75" customHeight="1">
      <c r="I918" s="121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22"/>
    </row>
    <row r="919" ht="15.75" customHeight="1">
      <c r="I919" s="121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22"/>
    </row>
    <row r="920" ht="15.75" customHeight="1">
      <c r="I920" s="121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22"/>
    </row>
    <row r="921" ht="15.75" customHeight="1">
      <c r="I921" s="121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22"/>
    </row>
    <row r="922" ht="15.75" customHeight="1">
      <c r="I922" s="121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22"/>
    </row>
    <row r="923" ht="15.75" customHeight="1">
      <c r="I923" s="121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22"/>
    </row>
    <row r="924" ht="15.75" customHeight="1">
      <c r="I924" s="121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22"/>
    </row>
    <row r="925" ht="15.75" customHeight="1">
      <c r="I925" s="121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22"/>
    </row>
    <row r="926" ht="15.75" customHeight="1">
      <c r="I926" s="121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22"/>
    </row>
    <row r="927" ht="15.75" customHeight="1">
      <c r="I927" s="121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22"/>
    </row>
    <row r="928" ht="15.75" customHeight="1">
      <c r="I928" s="121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22"/>
    </row>
    <row r="929" ht="15.75" customHeight="1">
      <c r="I929" s="121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22"/>
    </row>
    <row r="930" ht="15.75" customHeight="1">
      <c r="I930" s="121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22"/>
    </row>
    <row r="931" ht="15.75" customHeight="1">
      <c r="I931" s="121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22"/>
    </row>
    <row r="932" ht="15.75" customHeight="1">
      <c r="I932" s="121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22"/>
    </row>
    <row r="933" ht="15.75" customHeight="1">
      <c r="I933" s="121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22"/>
    </row>
    <row r="934" ht="15.75" customHeight="1">
      <c r="I934" s="121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22"/>
    </row>
    <row r="935" ht="15.75" customHeight="1">
      <c r="I935" s="121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22"/>
    </row>
    <row r="936" ht="15.75" customHeight="1">
      <c r="I936" s="121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22"/>
    </row>
    <row r="937" ht="15.75" customHeight="1">
      <c r="I937" s="121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22"/>
    </row>
    <row r="938" ht="15.75" customHeight="1">
      <c r="I938" s="121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22"/>
    </row>
    <row r="939" ht="15.75" customHeight="1">
      <c r="I939" s="121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22"/>
    </row>
    <row r="940" ht="15.75" customHeight="1">
      <c r="I940" s="121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22"/>
    </row>
    <row r="941" ht="15.75" customHeight="1">
      <c r="I941" s="121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22"/>
    </row>
    <row r="942" ht="15.75" customHeight="1">
      <c r="I942" s="121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22"/>
    </row>
    <row r="943" ht="15.75" customHeight="1">
      <c r="I943" s="121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22"/>
    </row>
    <row r="944" ht="15.75" customHeight="1">
      <c r="I944" s="121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22"/>
    </row>
    <row r="945" ht="15.75" customHeight="1">
      <c r="I945" s="121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22"/>
    </row>
    <row r="946" ht="15.75" customHeight="1">
      <c r="I946" s="121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22"/>
    </row>
    <row r="947" ht="15.75" customHeight="1">
      <c r="I947" s="121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22"/>
    </row>
    <row r="948" ht="15.75" customHeight="1">
      <c r="I948" s="121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22"/>
    </row>
    <row r="949" ht="15.75" customHeight="1">
      <c r="I949" s="121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22"/>
    </row>
    <row r="950" ht="15.75" customHeight="1">
      <c r="I950" s="121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22"/>
    </row>
    <row r="951" ht="15.75" customHeight="1">
      <c r="I951" s="121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22"/>
    </row>
    <row r="952" ht="15.75" customHeight="1">
      <c r="I952" s="121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22"/>
    </row>
    <row r="953" ht="15.75" customHeight="1">
      <c r="I953" s="121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22"/>
    </row>
    <row r="954" ht="15.75" customHeight="1">
      <c r="I954" s="121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22"/>
    </row>
    <row r="955" ht="15.75" customHeight="1">
      <c r="I955" s="121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22"/>
    </row>
    <row r="956" ht="15.75" customHeight="1">
      <c r="I956" s="121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22"/>
    </row>
    <row r="957" ht="15.75" customHeight="1">
      <c r="I957" s="121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22"/>
    </row>
    <row r="958" ht="15.75" customHeight="1">
      <c r="I958" s="121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22"/>
    </row>
    <row r="959" ht="15.75" customHeight="1">
      <c r="I959" s="121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22"/>
    </row>
    <row r="960" ht="15.75" customHeight="1">
      <c r="I960" s="121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22"/>
    </row>
    <row r="961" ht="15.75" customHeight="1">
      <c r="I961" s="121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22"/>
    </row>
    <row r="962" ht="15.75" customHeight="1">
      <c r="I962" s="121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22"/>
    </row>
    <row r="963" ht="15.75" customHeight="1">
      <c r="I963" s="121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22"/>
    </row>
    <row r="964" ht="15.75" customHeight="1">
      <c r="I964" s="121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22"/>
    </row>
    <row r="965" ht="15.75" customHeight="1">
      <c r="I965" s="121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22"/>
    </row>
    <row r="966" ht="15.75" customHeight="1">
      <c r="I966" s="121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22"/>
    </row>
    <row r="967" ht="15.75" customHeight="1">
      <c r="I967" s="121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22"/>
    </row>
    <row r="968" ht="15.75" customHeight="1">
      <c r="I968" s="121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22"/>
    </row>
    <row r="969" ht="15.75" customHeight="1">
      <c r="I969" s="121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22"/>
    </row>
    <row r="970" ht="15.75" customHeight="1">
      <c r="I970" s="121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22"/>
    </row>
    <row r="971" ht="15.75" customHeight="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</row>
    <row r="972" ht="15.75" customHeight="1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</row>
    <row r="973" ht="15.75" customHeight="1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</row>
    <row r="974" ht="15.75" customHeight="1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</row>
    <row r="975" ht="15.75" customHeight="1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</row>
    <row r="976" ht="15.75" customHeight="1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</row>
    <row r="977" ht="15.75" customHeight="1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</row>
    <row r="978" ht="15.75" customHeight="1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</row>
    <row r="979" ht="15.75" customHeight="1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</row>
    <row r="980" ht="15.75" customHeight="1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</row>
    <row r="981" ht="15.75" customHeight="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</row>
    <row r="982" ht="15.75" customHeight="1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</row>
    <row r="983" ht="15.75" customHeight="1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04" t="s">
        <v>342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H107" s="82">
        <v>44624.0</v>
      </c>
      <c r="AJ107" s="66">
        <v>1.74</v>
      </c>
      <c r="AK107" s="66">
        <v>0.2576</v>
      </c>
      <c r="AM107" s="66">
        <v>1.53</v>
      </c>
      <c r="AN107" s="66">
        <v>0.1349</v>
      </c>
      <c r="AP107" s="66">
        <v>1.69</v>
      </c>
      <c r="AQ107" s="66">
        <v>0.1039</v>
      </c>
      <c r="AS107" s="66">
        <v>2.91</v>
      </c>
      <c r="AT107" s="66">
        <v>0.3073</v>
      </c>
      <c r="AV107" s="66">
        <v>1.2</v>
      </c>
      <c r="AW107" s="66">
        <v>0.1234</v>
      </c>
      <c r="AY107" s="66">
        <v>0.4</v>
      </c>
      <c r="AZ107" s="66">
        <v>0.1281</v>
      </c>
      <c r="BB107" s="66">
        <v>0.4</v>
      </c>
      <c r="BC107" s="66">
        <v>0.2118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H110" s="82">
        <v>44624.0</v>
      </c>
      <c r="AJ110" s="66">
        <v>1.44</v>
      </c>
      <c r="AM110" s="66">
        <v>1.3</v>
      </c>
      <c r="AP110" s="66">
        <v>1.35</v>
      </c>
      <c r="AS110" s="66">
        <v>1.55</v>
      </c>
      <c r="AT110" s="66">
        <v>0.1778</v>
      </c>
      <c r="AV110" s="66">
        <v>1.6</v>
      </c>
      <c r="AW110" s="66">
        <v>0.1344</v>
      </c>
      <c r="AY110" s="66">
        <v>1.95</v>
      </c>
      <c r="AZ110" s="66">
        <v>0.224</v>
      </c>
      <c r="BB110" s="66">
        <v>1.96</v>
      </c>
      <c r="BC110" s="66">
        <v>0.1662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H112" s="82">
        <v>44624.0</v>
      </c>
      <c r="AJ112" s="66">
        <v>1.55</v>
      </c>
      <c r="AM112" s="66">
        <v>1.35</v>
      </c>
      <c r="AP112" s="66">
        <v>1.35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101" t="s">
        <v>249</v>
      </c>
      <c r="D1" s="102"/>
      <c r="E1" s="102"/>
      <c r="F1" s="118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20"/>
    </row>
    <row r="2">
      <c r="F2" s="121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22"/>
    </row>
    <row r="3">
      <c r="C3" s="103" t="s">
        <v>1</v>
      </c>
      <c r="D3" s="104" t="s">
        <v>250</v>
      </c>
      <c r="E3" s="103"/>
      <c r="F3" s="121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22"/>
    </row>
    <row r="4">
      <c r="C4" s="103" t="s">
        <v>3</v>
      </c>
      <c r="D4" s="104" t="s">
        <v>343</v>
      </c>
      <c r="F4" s="10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22"/>
    </row>
    <row r="5">
      <c r="C5" s="66" t="s">
        <v>344</v>
      </c>
      <c r="F5" s="127" t="s">
        <v>345</v>
      </c>
      <c r="G5" s="14"/>
      <c r="H5" s="14"/>
      <c r="I5" s="22" t="s">
        <v>346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22"/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F7" s="82"/>
      <c r="H7" s="66" t="s">
        <v>347</v>
      </c>
      <c r="I7" s="66">
        <v>1.51</v>
      </c>
      <c r="J7" s="66">
        <v>0.1245</v>
      </c>
      <c r="K7" s="66">
        <v>0.076</v>
      </c>
      <c r="L7" s="66">
        <v>1.23</v>
      </c>
      <c r="M7" s="66">
        <v>0.1688</v>
      </c>
      <c r="N7" s="66">
        <v>0.104</v>
      </c>
      <c r="O7" s="66">
        <v>1.48</v>
      </c>
      <c r="P7" s="66">
        <v>0.2144</v>
      </c>
      <c r="Q7" s="66">
        <v>0.076</v>
      </c>
      <c r="AB7" s="66"/>
      <c r="AC7" s="66"/>
      <c r="AD7" s="66"/>
      <c r="AE7" s="66"/>
      <c r="AF7" s="66"/>
      <c r="AG7" s="66">
        <v>1.0667</v>
      </c>
      <c r="AH7" s="66">
        <v>0.653</v>
      </c>
      <c r="AJ7" s="66">
        <v>3.5</v>
      </c>
      <c r="AK7" s="66">
        <v>0.2461</v>
      </c>
      <c r="AL7" s="66">
        <v>0.15</v>
      </c>
      <c r="AM7" s="66">
        <v>1.75</v>
      </c>
      <c r="AN7" s="66">
        <v>0.2196</v>
      </c>
      <c r="AO7" s="66">
        <v>0.132</v>
      </c>
      <c r="AP7" s="66">
        <v>1.85</v>
      </c>
      <c r="AQ7" s="66">
        <v>0.1721</v>
      </c>
      <c r="AR7" s="66">
        <v>0.1</v>
      </c>
      <c r="AS7" s="66">
        <v>2.95</v>
      </c>
      <c r="AT7" s="66">
        <v>0.21</v>
      </c>
      <c r="AU7" s="66">
        <v>0.131</v>
      </c>
      <c r="AV7" s="66">
        <v>2.0</v>
      </c>
      <c r="AW7" s="66">
        <v>0.2378</v>
      </c>
      <c r="AX7" s="66">
        <v>0.144</v>
      </c>
      <c r="AY7" s="66">
        <v>2.6</v>
      </c>
      <c r="AZ7" s="66">
        <v>0.1909</v>
      </c>
      <c r="BA7" s="66">
        <v>0.118</v>
      </c>
      <c r="BE7" s="66">
        <v>0.241</v>
      </c>
      <c r="BF7" s="66">
        <v>0.152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F8" s="82"/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82"/>
      <c r="H9" s="66" t="s">
        <v>347</v>
      </c>
      <c r="I9" s="66">
        <v>2.82</v>
      </c>
      <c r="J9" s="66">
        <v>0.3736</v>
      </c>
      <c r="K9" s="66">
        <v>0.228</v>
      </c>
      <c r="L9" s="66">
        <v>2.57</v>
      </c>
      <c r="M9" s="66">
        <v>0.2637</v>
      </c>
      <c r="N9" s="66">
        <v>0.157</v>
      </c>
      <c r="O9" s="66">
        <v>1.82</v>
      </c>
      <c r="P9" s="66">
        <v>0.37</v>
      </c>
      <c r="Q9" s="66">
        <v>0.218</v>
      </c>
      <c r="R9" s="66">
        <v>2.709</v>
      </c>
      <c r="S9" s="66">
        <v>0.2703</v>
      </c>
      <c r="T9" s="66">
        <v>0.159</v>
      </c>
      <c r="AB9" s="66"/>
      <c r="AC9" s="66"/>
      <c r="AD9" s="66"/>
      <c r="AE9" s="66"/>
      <c r="AF9" s="66"/>
      <c r="AG9" s="66">
        <v>1.4173</v>
      </c>
      <c r="AH9" s="66">
        <v>0.849</v>
      </c>
      <c r="AJ9" s="66">
        <v>2.9</v>
      </c>
      <c r="AK9" s="66">
        <v>0.2881</v>
      </c>
      <c r="AL9" s="66">
        <v>0.175</v>
      </c>
      <c r="AM9" s="66">
        <v>1.69</v>
      </c>
      <c r="AN9" s="66">
        <v>0.284</v>
      </c>
      <c r="AO9" s="66">
        <v>0.166</v>
      </c>
      <c r="AP9" s="66">
        <v>1.7</v>
      </c>
      <c r="AQ9" s="66">
        <v>0.2087</v>
      </c>
      <c r="AR9" s="66">
        <v>0.126</v>
      </c>
      <c r="AS9" s="66">
        <v>1.65</v>
      </c>
      <c r="AT9" s="66">
        <v>0.3681</v>
      </c>
      <c r="AU9" s="66">
        <v>0.226</v>
      </c>
      <c r="BE9" s="66">
        <v>1.0383</v>
      </c>
      <c r="BF9" s="66">
        <v>0.62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82"/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F11" s="82"/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82"/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82"/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F14" s="82"/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82"/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82"/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F17" s="82"/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82"/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82"/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F20" s="82"/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82"/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82"/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82"/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82"/>
      <c r="H24" s="82">
        <v>44628.0</v>
      </c>
      <c r="I24" s="66">
        <v>1.82</v>
      </c>
      <c r="L24" s="66">
        <v>1.519</v>
      </c>
      <c r="O24" s="66">
        <v>1.63</v>
      </c>
      <c r="AG24" s="66">
        <v>0.5754</v>
      </c>
      <c r="AH24" s="66">
        <v>0.206</v>
      </c>
      <c r="AJ24" s="66">
        <v>1.65</v>
      </c>
      <c r="AK24" s="66">
        <v>0.0622</v>
      </c>
      <c r="AL24" s="66">
        <v>0.023</v>
      </c>
      <c r="AM24" s="66">
        <v>2.8</v>
      </c>
      <c r="AN24" s="66">
        <v>0.1227</v>
      </c>
      <c r="AO24" s="66">
        <v>0.067</v>
      </c>
      <c r="AP24" s="66">
        <v>1.85</v>
      </c>
      <c r="AQ24" s="66">
        <v>0.1412</v>
      </c>
      <c r="AR24" s="66">
        <v>0.051</v>
      </c>
      <c r="BE24" s="66">
        <v>2.0149</v>
      </c>
      <c r="BH24" s="66" t="s">
        <v>348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82"/>
      <c r="H25" s="82">
        <v>44628.0</v>
      </c>
      <c r="I25" s="66">
        <v>1.538</v>
      </c>
      <c r="L25" s="66">
        <v>1.478</v>
      </c>
      <c r="AG25" s="66">
        <v>0.6364</v>
      </c>
      <c r="AH25" s="66">
        <v>0.227</v>
      </c>
      <c r="AJ25" s="66">
        <v>2.01</v>
      </c>
      <c r="AK25" s="66">
        <v>0.3206</v>
      </c>
      <c r="AL25" s="66">
        <v>0.112</v>
      </c>
      <c r="AM25" s="66">
        <v>3.0</v>
      </c>
      <c r="AN25" s="66">
        <v>0.1546</v>
      </c>
      <c r="AO25" s="66">
        <v>0.082</v>
      </c>
      <c r="AP25" s="66">
        <v>1.85</v>
      </c>
      <c r="AQ25" s="66">
        <v>0.1376</v>
      </c>
      <c r="AR25" s="66">
        <v>0.132</v>
      </c>
      <c r="BE25" s="66">
        <v>0.174</v>
      </c>
      <c r="BF25" s="66">
        <v>0.72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F26" s="82"/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82"/>
      <c r="H27" s="82">
        <v>44628.0</v>
      </c>
      <c r="I27" s="66">
        <v>1.49</v>
      </c>
      <c r="L27" s="66">
        <v>1.483</v>
      </c>
      <c r="AG27" s="66">
        <v>0.3003</v>
      </c>
      <c r="AH27" s="66">
        <v>0.101</v>
      </c>
      <c r="AJ27" s="66">
        <v>2.199</v>
      </c>
      <c r="AK27" s="66">
        <v>0.0536</v>
      </c>
      <c r="AM27" s="66">
        <v>2.305</v>
      </c>
      <c r="AN27" s="66">
        <v>0.0362</v>
      </c>
      <c r="AP27" s="66">
        <v>2.24</v>
      </c>
      <c r="AQ27" s="66">
        <v>0.0206</v>
      </c>
      <c r="BE27" s="66">
        <v>0.5031</v>
      </c>
      <c r="BF27" s="66">
        <v>0.233</v>
      </c>
      <c r="BH27" s="66" t="s">
        <v>349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F28" s="82"/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F29" s="82"/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82"/>
      <c r="H30" s="82">
        <v>44628.0</v>
      </c>
      <c r="I30" s="66">
        <v>1.46</v>
      </c>
      <c r="L30" s="66">
        <v>1.442</v>
      </c>
      <c r="AG30" s="81">
        <f>0.2124+0.339</f>
        <v>0.5514</v>
      </c>
      <c r="AH30" s="81">
        <f>0.118+0.13</f>
        <v>0.248</v>
      </c>
      <c r="AJ30" s="66">
        <v>1.472</v>
      </c>
      <c r="AK30" s="66">
        <v>0.0579</v>
      </c>
      <c r="AM30" s="66">
        <v>2.41</v>
      </c>
      <c r="AN30" s="66">
        <v>0.1936</v>
      </c>
      <c r="AO30" s="66">
        <v>0.104</v>
      </c>
      <c r="AP30" s="66">
        <v>2.065</v>
      </c>
      <c r="AQ30" s="66">
        <v>0.1857</v>
      </c>
      <c r="AR30" s="66">
        <v>0.098</v>
      </c>
      <c r="AS30" s="66">
        <v>2.86</v>
      </c>
      <c r="AT30" s="66">
        <v>0.3714</v>
      </c>
      <c r="AU30" s="66">
        <v>0.211</v>
      </c>
      <c r="AV30" s="66">
        <v>2.156</v>
      </c>
      <c r="AW30" s="66">
        <v>0.1188</v>
      </c>
      <c r="AX30" s="66">
        <v>0.067</v>
      </c>
      <c r="AY30" s="66">
        <v>2.396</v>
      </c>
      <c r="AZ30" s="66">
        <v>0.1398</v>
      </c>
      <c r="BA30" s="66">
        <v>0.074</v>
      </c>
      <c r="BE30" s="66">
        <v>1.0269</v>
      </c>
      <c r="BF30" s="66">
        <v>0.541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F31" s="82"/>
      <c r="H31" s="82">
        <v>44631.0</v>
      </c>
      <c r="I31" s="66">
        <v>0.91</v>
      </c>
      <c r="J31" s="66">
        <v>0.295</v>
      </c>
      <c r="K31" s="66">
        <v>0.173</v>
      </c>
      <c r="L31" s="66">
        <v>0.751</v>
      </c>
      <c r="M31" s="66">
        <v>0.6336</v>
      </c>
      <c r="N31" s="66">
        <v>0.371</v>
      </c>
      <c r="O31" s="66">
        <v>0.801</v>
      </c>
      <c r="P31" s="66">
        <v>0.4675</v>
      </c>
      <c r="Q31" s="66">
        <v>0.276</v>
      </c>
      <c r="AB31" s="66"/>
      <c r="AC31" s="66"/>
      <c r="AD31" s="66"/>
      <c r="AE31" s="66"/>
      <c r="AF31" s="66"/>
      <c r="AG31" s="66">
        <v>2.0767</v>
      </c>
      <c r="AH31" s="66">
        <v>1.232</v>
      </c>
      <c r="AJ31" s="66">
        <v>2.504</v>
      </c>
      <c r="AK31" s="66">
        <v>0.2377</v>
      </c>
      <c r="AL31" s="66">
        <v>0.141</v>
      </c>
      <c r="AM31" s="66">
        <v>2.231</v>
      </c>
      <c r="AN31" s="66">
        <v>0.3211</v>
      </c>
      <c r="AO31" s="66">
        <v>0.192</v>
      </c>
      <c r="AP31" s="66">
        <v>2.017</v>
      </c>
      <c r="AQ31" s="66">
        <v>0.3991</v>
      </c>
      <c r="AR31" s="66">
        <v>0.235</v>
      </c>
      <c r="AS31" s="66">
        <v>4.306</v>
      </c>
      <c r="AT31" s="66">
        <v>0.3223</v>
      </c>
      <c r="AU31" s="66">
        <v>0.207</v>
      </c>
      <c r="AV31" s="66">
        <v>2.836</v>
      </c>
      <c r="AW31" s="66">
        <v>0.5589</v>
      </c>
      <c r="AX31" s="66">
        <v>0.328</v>
      </c>
      <c r="AY31" s="66">
        <v>2.204</v>
      </c>
      <c r="AZ31" s="66">
        <v>0.2249</v>
      </c>
      <c r="BA31" s="66">
        <v>0.133</v>
      </c>
      <c r="BE31" s="66">
        <v>1.8261</v>
      </c>
      <c r="BF31" s="66">
        <v>1.089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F32" s="82"/>
      <c r="H32" s="82">
        <v>44628.0</v>
      </c>
      <c r="I32" s="66">
        <v>0.353</v>
      </c>
      <c r="K32" s="66">
        <v>0.136</v>
      </c>
      <c r="L32" s="66">
        <v>0.38</v>
      </c>
      <c r="N32" s="66">
        <v>0.143</v>
      </c>
      <c r="Q32" s="66">
        <v>0.11</v>
      </c>
      <c r="T32" s="66">
        <v>0.105</v>
      </c>
      <c r="W32" s="66">
        <v>0.128</v>
      </c>
      <c r="AJ32" s="66">
        <v>1.4</v>
      </c>
      <c r="AK32" s="66">
        <v>0.3175</v>
      </c>
      <c r="AL32" s="66">
        <v>0.111</v>
      </c>
      <c r="AM32" s="66">
        <v>1.45</v>
      </c>
      <c r="AN32" s="66">
        <v>0.5388</v>
      </c>
      <c r="AO32" s="66">
        <v>0.174</v>
      </c>
      <c r="AP32" s="66">
        <v>3.0</v>
      </c>
      <c r="AQ32" s="66">
        <v>0.2172</v>
      </c>
      <c r="AR32" s="66">
        <v>0.13</v>
      </c>
      <c r="AS32" s="66">
        <v>3.15</v>
      </c>
      <c r="AT32" s="66">
        <v>0.2361</v>
      </c>
      <c r="AU32" s="66">
        <v>0.144</v>
      </c>
      <c r="AV32" s="66">
        <v>1.55</v>
      </c>
      <c r="AW32" s="66">
        <v>0.2614</v>
      </c>
      <c r="AX32" s="66">
        <v>0.084</v>
      </c>
      <c r="AY32" s="66">
        <v>2.75</v>
      </c>
      <c r="AZ32" s="66">
        <v>0.2106</v>
      </c>
      <c r="BA32" s="66">
        <v>0.136</v>
      </c>
      <c r="BE32" s="81">
        <f>0.3702+0.2041</f>
        <v>0.5743</v>
      </c>
      <c r="BF32" s="66">
        <v>0.257</v>
      </c>
      <c r="BH32" s="66" t="s">
        <v>350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82"/>
      <c r="H33" s="66" t="s">
        <v>347</v>
      </c>
      <c r="I33" s="66">
        <v>0.923</v>
      </c>
      <c r="J33" s="66">
        <v>0.1487</v>
      </c>
      <c r="K33" s="66">
        <v>0.063</v>
      </c>
      <c r="L33" s="66">
        <v>1.05</v>
      </c>
      <c r="M33" s="66">
        <v>0.2162</v>
      </c>
      <c r="N33" s="66">
        <v>0.093</v>
      </c>
      <c r="O33" s="66">
        <v>1.1</v>
      </c>
      <c r="P33" s="66">
        <v>0.1613</v>
      </c>
      <c r="Q33" s="66">
        <v>0.069</v>
      </c>
      <c r="AB33" s="66"/>
      <c r="AC33" s="66"/>
      <c r="AD33" s="66"/>
      <c r="AE33" s="66"/>
      <c r="AF33" s="66"/>
      <c r="AG33" s="66">
        <v>3.1114</v>
      </c>
      <c r="AH33" s="66">
        <v>1.308</v>
      </c>
      <c r="AJ33" s="66">
        <v>1.85</v>
      </c>
      <c r="AK33" s="66">
        <v>0.1533</v>
      </c>
      <c r="AL33" s="66">
        <v>0.062</v>
      </c>
      <c r="AM33" s="66">
        <v>2.0</v>
      </c>
      <c r="AN33" s="66">
        <v>0.1785</v>
      </c>
      <c r="AO33" s="66">
        <v>0.075</v>
      </c>
      <c r="AP33" s="66">
        <v>1.8</v>
      </c>
      <c r="AQ33" s="66">
        <v>0.1671</v>
      </c>
      <c r="AR33" s="66">
        <v>0.07</v>
      </c>
      <c r="AS33" s="66">
        <v>1.5</v>
      </c>
      <c r="AT33" s="66">
        <v>0.169</v>
      </c>
      <c r="AU33" s="66">
        <v>0.072</v>
      </c>
      <c r="BE33" s="66">
        <v>0.8256</v>
      </c>
      <c r="BF33" s="66">
        <v>0.345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82"/>
      <c r="H34" s="82">
        <v>44631.0</v>
      </c>
      <c r="I34" s="66">
        <v>1.201</v>
      </c>
      <c r="J34" s="66">
        <v>0.1665</v>
      </c>
      <c r="L34" s="66">
        <v>1.44</v>
      </c>
      <c r="M34" s="66">
        <v>0.1685</v>
      </c>
      <c r="O34" s="66">
        <v>1.124</v>
      </c>
      <c r="P34" s="66">
        <v>0.2242</v>
      </c>
      <c r="R34" s="66">
        <v>1.19</v>
      </c>
      <c r="S34" s="66">
        <v>0.088</v>
      </c>
      <c r="AB34" s="66"/>
      <c r="AC34" s="66"/>
      <c r="AD34" s="66"/>
      <c r="AE34" s="66"/>
      <c r="AF34" s="66"/>
      <c r="AG34" s="66">
        <v>1.8815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F35" s="82"/>
      <c r="H35" s="82">
        <v>44628.0</v>
      </c>
      <c r="I35" s="66">
        <v>1.07</v>
      </c>
      <c r="K35" s="66">
        <v>0.059</v>
      </c>
      <c r="L35" s="66">
        <v>0.549</v>
      </c>
      <c r="N35" s="66">
        <v>0.054</v>
      </c>
      <c r="O35" s="66">
        <v>1.031</v>
      </c>
      <c r="Q35" s="66">
        <v>0.15</v>
      </c>
      <c r="R35" s="66">
        <v>0.549</v>
      </c>
      <c r="U35" s="66">
        <v>0.49</v>
      </c>
      <c r="AJ35" s="66">
        <v>2.37</v>
      </c>
      <c r="AK35" s="66">
        <v>0.216</v>
      </c>
      <c r="AL35" s="66">
        <v>0.133</v>
      </c>
      <c r="AM35" s="66">
        <v>2.94</v>
      </c>
      <c r="AN35" s="66">
        <v>0.3065</v>
      </c>
      <c r="AO35" s="66">
        <v>0.186</v>
      </c>
      <c r="AP35" s="66">
        <v>2.87</v>
      </c>
      <c r="AQ35" s="66">
        <v>0.1413</v>
      </c>
      <c r="AR35" s="66">
        <v>0.086</v>
      </c>
      <c r="AS35" s="66">
        <v>3.139</v>
      </c>
      <c r="AT35" s="66">
        <v>0.2116</v>
      </c>
      <c r="AU35" s="66">
        <v>0.141</v>
      </c>
      <c r="BE35" s="66">
        <v>0.1225</v>
      </c>
      <c r="BF35" s="66">
        <v>0.748</v>
      </c>
      <c r="BH35" s="66" t="s">
        <v>351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82"/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82"/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82"/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82"/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82"/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82"/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82"/>
      <c r="H42" s="82">
        <v>44628.0</v>
      </c>
      <c r="I42" s="66">
        <v>1.16</v>
      </c>
      <c r="L42" s="66">
        <v>1.33</v>
      </c>
      <c r="O42" s="66">
        <v>1.228</v>
      </c>
      <c r="AG42" s="66">
        <v>0.1444</v>
      </c>
      <c r="AH42" s="66">
        <v>0.047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F43" s="82"/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82"/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F45" s="82"/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82"/>
      <c r="H46" s="82">
        <v>44628.0</v>
      </c>
      <c r="I46" s="66">
        <v>0.255</v>
      </c>
      <c r="K46" s="66">
        <v>0.156</v>
      </c>
      <c r="L46" s="66">
        <v>0.407</v>
      </c>
      <c r="N46" s="66">
        <v>0.148</v>
      </c>
      <c r="O46" s="66">
        <v>0.243</v>
      </c>
      <c r="Q46" s="66">
        <v>0.153</v>
      </c>
      <c r="T46" s="66">
        <v>0.152</v>
      </c>
      <c r="W46" s="66">
        <v>0.136</v>
      </c>
      <c r="Z46" s="66">
        <v>0.095</v>
      </c>
      <c r="AC46" s="66">
        <v>0.079</v>
      </c>
      <c r="AJ46" s="66">
        <v>1.053</v>
      </c>
      <c r="AK46" s="66">
        <v>0.2743</v>
      </c>
      <c r="AL46" s="66">
        <v>0.157</v>
      </c>
      <c r="AM46" s="66">
        <v>1.618</v>
      </c>
      <c r="AN46" s="66">
        <v>1.618</v>
      </c>
      <c r="AO46" s="66">
        <v>0.166</v>
      </c>
      <c r="AP46" s="66">
        <v>1.4</v>
      </c>
      <c r="AQ46" s="66">
        <v>0.3105</v>
      </c>
      <c r="AR46" s="66">
        <v>0.177</v>
      </c>
      <c r="AS46" s="66">
        <v>1.02</v>
      </c>
      <c r="AT46" s="66">
        <v>0.2338</v>
      </c>
      <c r="AU46" s="66">
        <v>0.138</v>
      </c>
      <c r="AV46" s="66">
        <v>1.493</v>
      </c>
      <c r="AW46" s="66">
        <v>0.1984</v>
      </c>
      <c r="AX46" s="66">
        <v>0.116</v>
      </c>
      <c r="AY46" s="66">
        <v>1.53</v>
      </c>
      <c r="AZ46" s="66">
        <v>0.1806</v>
      </c>
      <c r="BA46" s="66">
        <v>0.105</v>
      </c>
      <c r="BE46" s="66">
        <v>0.6981</v>
      </c>
      <c r="BF46" s="66">
        <v>0.398</v>
      </c>
      <c r="BH46" s="66" t="s">
        <v>352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82"/>
      <c r="H47" s="82">
        <v>44628.0</v>
      </c>
      <c r="I47" s="66">
        <v>1.16</v>
      </c>
      <c r="K47" s="66">
        <v>0.035</v>
      </c>
      <c r="L47" s="66">
        <v>1.332</v>
      </c>
      <c r="N47" s="66">
        <v>0.051</v>
      </c>
      <c r="O47" s="66">
        <v>1.18</v>
      </c>
      <c r="Q47" s="66">
        <v>0.044</v>
      </c>
      <c r="T47" s="66">
        <v>0.025</v>
      </c>
      <c r="W47" s="66">
        <v>0.035</v>
      </c>
      <c r="Z47" s="66">
        <v>0.033</v>
      </c>
      <c r="AC47" s="66">
        <v>0.028</v>
      </c>
      <c r="AJ47" s="66">
        <v>2.23</v>
      </c>
      <c r="AK47" s="66">
        <v>0.0729</v>
      </c>
      <c r="AL47" s="66">
        <v>0.04</v>
      </c>
      <c r="AM47" s="66">
        <v>2.26</v>
      </c>
      <c r="AN47" s="66">
        <v>0.1438</v>
      </c>
      <c r="AO47" s="66">
        <v>0.079</v>
      </c>
      <c r="AP47" s="66">
        <v>2.409</v>
      </c>
      <c r="AQ47" s="66">
        <v>0.0781</v>
      </c>
      <c r="AR47" s="66">
        <v>0.042</v>
      </c>
      <c r="BE47" s="66">
        <v>0.7244</v>
      </c>
      <c r="BF47" s="66">
        <v>0.395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82"/>
      <c r="AJ48" s="66">
        <v>3.18</v>
      </c>
      <c r="AK48" s="66">
        <v>0.2693</v>
      </c>
      <c r="AL48" s="66">
        <v>0.15</v>
      </c>
      <c r="AM48" s="66">
        <v>1.984</v>
      </c>
      <c r="AN48" s="66">
        <v>0.235</v>
      </c>
      <c r="AO48" s="66">
        <v>0.125</v>
      </c>
      <c r="AP48" s="66">
        <v>1.941</v>
      </c>
      <c r="AQ48" s="66">
        <v>0.183</v>
      </c>
      <c r="AR48" s="66">
        <v>0.1</v>
      </c>
      <c r="AS48" s="66">
        <v>1.922</v>
      </c>
      <c r="AT48" s="66">
        <v>0.1912</v>
      </c>
      <c r="AU48" s="66">
        <v>0.102</v>
      </c>
      <c r="BE48" s="66">
        <v>0.5719</v>
      </c>
      <c r="BF48" s="66">
        <v>0.301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82"/>
      <c r="H49" s="82">
        <v>44628.0</v>
      </c>
      <c r="I49" s="66">
        <v>1.97</v>
      </c>
      <c r="L49" s="66">
        <v>2.36</v>
      </c>
      <c r="O49" s="66">
        <v>2.18</v>
      </c>
      <c r="R49" s="66">
        <v>2.302</v>
      </c>
      <c r="BH49" s="66" t="s">
        <v>353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82"/>
      <c r="H50" s="82">
        <v>44628.0</v>
      </c>
      <c r="I50" s="66">
        <v>2.57</v>
      </c>
      <c r="L50" s="66">
        <v>2.217</v>
      </c>
      <c r="O50" s="66">
        <v>2.513</v>
      </c>
      <c r="BH50" s="66" t="s">
        <v>74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82"/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82"/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82"/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82"/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82"/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82"/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82"/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82"/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82"/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82"/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82"/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82"/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82"/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82"/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82"/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82"/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82"/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82"/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82"/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82"/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82"/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82"/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82"/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82"/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82"/>
      <c r="H75" s="82">
        <v>44631.0</v>
      </c>
      <c r="I75" s="66">
        <v>0.927</v>
      </c>
      <c r="J75" s="66">
        <v>0.3265</v>
      </c>
      <c r="K75" s="66">
        <v>0.198</v>
      </c>
      <c r="L75" s="66">
        <v>0.94</v>
      </c>
      <c r="M75" s="66">
        <v>0.3714</v>
      </c>
      <c r="N75" s="66">
        <v>0.22</v>
      </c>
      <c r="AB75" s="66"/>
      <c r="AC75" s="66"/>
      <c r="AD75" s="66"/>
      <c r="AE75" s="66"/>
      <c r="AF75" s="66"/>
      <c r="AG75" s="66">
        <v>1.5817</v>
      </c>
      <c r="AH75" s="66">
        <v>0.944</v>
      </c>
      <c r="AJ75" s="66">
        <v>2.14</v>
      </c>
      <c r="AK75" s="66">
        <v>0.3022</v>
      </c>
      <c r="AL75" s="66">
        <v>0.177</v>
      </c>
      <c r="AM75" s="66">
        <v>2.342</v>
      </c>
      <c r="AN75" s="66">
        <v>0.2509</v>
      </c>
      <c r="AO75" s="66">
        <v>0.15</v>
      </c>
      <c r="AP75" s="66">
        <v>2.206</v>
      </c>
      <c r="AQ75" s="66">
        <v>0.1918</v>
      </c>
      <c r="AR75" s="66">
        <v>0.113</v>
      </c>
      <c r="BE75" s="66">
        <v>1.1844</v>
      </c>
      <c r="BF75" s="66">
        <v>0.698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82"/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82"/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82"/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82"/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82"/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F81" s="82"/>
      <c r="H81" s="82">
        <v>44631.0</v>
      </c>
      <c r="I81" s="66">
        <v>1.23</v>
      </c>
      <c r="J81" s="66">
        <v>0.0401</v>
      </c>
      <c r="L81" s="66">
        <v>1.4</v>
      </c>
      <c r="M81" s="66">
        <v>0.0167</v>
      </c>
      <c r="O81" s="66">
        <v>0.67</v>
      </c>
      <c r="P81" s="66">
        <v>0.0285</v>
      </c>
      <c r="R81" s="66">
        <v>1.25</v>
      </c>
      <c r="S81" s="66">
        <v>0.0196</v>
      </c>
      <c r="AB81" s="66"/>
      <c r="AC81" s="66"/>
      <c r="AD81" s="66"/>
      <c r="AE81" s="66"/>
      <c r="AF81" s="66"/>
      <c r="AG81" s="66">
        <v>0.08319</v>
      </c>
      <c r="AH81" s="66">
        <v>0.351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82"/>
      <c r="H82" s="82">
        <v>44631.0</v>
      </c>
      <c r="I82" s="66">
        <v>0.941</v>
      </c>
      <c r="J82" s="66">
        <v>0.3063</v>
      </c>
      <c r="K82" s="66">
        <v>0.181</v>
      </c>
      <c r="L82" s="66">
        <v>1.08</v>
      </c>
      <c r="M82" s="66">
        <v>0.4743</v>
      </c>
      <c r="N82" s="66">
        <v>0.274</v>
      </c>
      <c r="AB82" s="66"/>
      <c r="AC82" s="66"/>
      <c r="AD82" s="66"/>
      <c r="AE82" s="66"/>
      <c r="AF82" s="66"/>
      <c r="AG82" s="66">
        <v>2.6321</v>
      </c>
      <c r="AH82" s="66">
        <v>1.511</v>
      </c>
      <c r="AJ82" s="66">
        <v>2.26</v>
      </c>
      <c r="AK82" s="66">
        <v>0.516</v>
      </c>
      <c r="AL82" s="66">
        <v>0.297</v>
      </c>
      <c r="AM82" s="66">
        <v>2.61</v>
      </c>
      <c r="AN82" s="66">
        <v>0.2882</v>
      </c>
      <c r="AO82" s="66">
        <v>0.165</v>
      </c>
      <c r="AP82" s="66">
        <v>2.112</v>
      </c>
      <c r="AQ82" s="66">
        <v>0.3896</v>
      </c>
      <c r="AR82" s="66">
        <v>0.222</v>
      </c>
      <c r="AS82" s="66">
        <v>2.19</v>
      </c>
      <c r="AT82" s="66">
        <v>0.3978</v>
      </c>
      <c r="AU82" s="66">
        <v>0.225</v>
      </c>
      <c r="BE82" s="66">
        <v>1.7593</v>
      </c>
      <c r="BF82" s="66">
        <v>1.021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82"/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82"/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82"/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82"/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82"/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82"/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82"/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82"/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82"/>
      <c r="H91" s="82">
        <v>44628.0</v>
      </c>
      <c r="I91" s="66">
        <v>1.562</v>
      </c>
      <c r="L91" s="66">
        <v>1.388</v>
      </c>
      <c r="O91" s="66">
        <v>1.401</v>
      </c>
      <c r="BH91" s="66" t="s">
        <v>74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82"/>
      <c r="H92" s="82">
        <v>44631.0</v>
      </c>
      <c r="I92" s="66">
        <v>1.201</v>
      </c>
      <c r="L92" s="66">
        <v>1.29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82"/>
      <c r="H93" s="82">
        <v>44631.0</v>
      </c>
      <c r="I93" s="66">
        <v>1.52</v>
      </c>
      <c r="L93" s="66">
        <v>1.45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82"/>
      <c r="H94" s="82">
        <v>44631.0</v>
      </c>
      <c r="I94" s="66">
        <v>1.42</v>
      </c>
      <c r="J94" s="66">
        <v>0.0137</v>
      </c>
      <c r="L94" s="66">
        <v>1.44</v>
      </c>
      <c r="M94" s="66">
        <v>0.0072</v>
      </c>
      <c r="AB94" s="66"/>
      <c r="AC94" s="66"/>
      <c r="AD94" s="66"/>
      <c r="AE94" s="66"/>
      <c r="AF94" s="66"/>
      <c r="AG94" s="66">
        <v>0.925</v>
      </c>
      <c r="AH94" s="66">
        <v>0.315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F95" s="82"/>
    </row>
    <row r="96">
      <c r="A96" s="111"/>
      <c r="B96" s="106" t="s">
        <v>58</v>
      </c>
      <c r="C96" s="111" t="s">
        <v>87</v>
      </c>
      <c r="D96" s="112" t="s">
        <v>61</v>
      </c>
      <c r="E96" s="112"/>
      <c r="F96" s="82"/>
    </row>
    <row r="97">
      <c r="A97" s="111"/>
      <c r="B97" s="106" t="s">
        <v>58</v>
      </c>
      <c r="C97" s="111" t="s">
        <v>87</v>
      </c>
      <c r="D97" s="112" t="s">
        <v>61</v>
      </c>
      <c r="E97" s="112"/>
      <c r="F97" s="82"/>
    </row>
    <row r="98">
      <c r="A98" s="111"/>
      <c r="B98" s="106" t="s">
        <v>58</v>
      </c>
      <c r="C98" s="111" t="s">
        <v>87</v>
      </c>
      <c r="D98" s="112" t="s">
        <v>61</v>
      </c>
      <c r="E98" s="112"/>
      <c r="F98" s="82"/>
    </row>
    <row r="99">
      <c r="A99" s="111"/>
      <c r="B99" s="106" t="s">
        <v>58</v>
      </c>
      <c r="C99" s="111" t="s">
        <v>87</v>
      </c>
      <c r="D99" s="112" t="s">
        <v>61</v>
      </c>
      <c r="E99" s="112"/>
      <c r="F99" s="8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F100" s="8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F101" s="8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F102" s="8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F103" s="8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F104" s="8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F105" s="82"/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F106" s="82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F107" s="82"/>
      <c r="H107" s="82">
        <v>44628.0</v>
      </c>
      <c r="I107" s="66">
        <v>1.316</v>
      </c>
      <c r="L107" s="66">
        <v>1.334</v>
      </c>
      <c r="AG107" s="66">
        <v>1.8606</v>
      </c>
      <c r="AH107" s="66">
        <v>0.639</v>
      </c>
      <c r="AJ107" s="66">
        <v>1.856</v>
      </c>
      <c r="AK107" s="66">
        <v>0.1124</v>
      </c>
      <c r="AL107" s="66">
        <v>0.041</v>
      </c>
      <c r="AM107" s="66">
        <v>1.829</v>
      </c>
      <c r="AN107" s="66">
        <v>0.0657</v>
      </c>
      <c r="AO107" s="66">
        <v>0.023</v>
      </c>
      <c r="AP107" s="66">
        <v>1.818</v>
      </c>
      <c r="AQ107" s="66">
        <v>0.1414</v>
      </c>
      <c r="AR107" s="66">
        <v>0.051</v>
      </c>
      <c r="BE107" s="66">
        <v>0.7962</v>
      </c>
      <c r="BF107" s="66">
        <v>0.284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H110" s="82">
        <v>44628.0</v>
      </c>
      <c r="I110" s="66">
        <v>0.798</v>
      </c>
      <c r="L110" s="66">
        <v>0.791</v>
      </c>
      <c r="O110" s="66">
        <v>0.821</v>
      </c>
      <c r="AG110" s="66">
        <v>1.3192</v>
      </c>
      <c r="AH110" s="66">
        <v>0.436</v>
      </c>
      <c r="AJ110" s="66">
        <v>2.006</v>
      </c>
      <c r="AK110" s="66">
        <v>0.238</v>
      </c>
      <c r="AL110" s="66">
        <v>0.098</v>
      </c>
      <c r="AM110" s="66">
        <v>2.23</v>
      </c>
      <c r="AN110" s="66">
        <v>0.1203</v>
      </c>
      <c r="AO110" s="66">
        <v>0.049</v>
      </c>
      <c r="AP110" s="66">
        <v>1.967</v>
      </c>
      <c r="AQ110" s="66">
        <v>0.1832</v>
      </c>
      <c r="AR110" s="66">
        <v>0.075</v>
      </c>
      <c r="AS110" s="66">
        <v>2.096</v>
      </c>
      <c r="AT110" s="66">
        <v>0.1672</v>
      </c>
      <c r="AU110" s="66">
        <v>0.071</v>
      </c>
      <c r="BE110" s="66">
        <v>0.8632</v>
      </c>
      <c r="BF110" s="66">
        <v>0.335</v>
      </c>
      <c r="BH110" s="66" t="s">
        <v>354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H111" s="82">
        <v>44631.0</v>
      </c>
      <c r="I111" s="66">
        <v>1.02</v>
      </c>
      <c r="J111" s="66">
        <v>0.2108</v>
      </c>
      <c r="K111" s="66">
        <v>0.086</v>
      </c>
      <c r="L111" s="66">
        <v>0.898</v>
      </c>
      <c r="M111" s="66">
        <v>0.1588</v>
      </c>
      <c r="N111" s="66">
        <v>0.068</v>
      </c>
      <c r="O111" s="66">
        <v>0.962</v>
      </c>
      <c r="P111" s="66">
        <v>0.1872</v>
      </c>
      <c r="Q111" s="66">
        <v>0.081</v>
      </c>
      <c r="AB111" s="66"/>
      <c r="AC111" s="66"/>
      <c r="AD111" s="66"/>
      <c r="AE111" s="66"/>
      <c r="AF111" s="66"/>
      <c r="AG111" s="66">
        <v>2.0422</v>
      </c>
      <c r="AH111" s="66">
        <v>0.872</v>
      </c>
      <c r="AJ111" s="66">
        <v>2.48</v>
      </c>
      <c r="AK111" s="66">
        <v>0.1117</v>
      </c>
      <c r="AL111" s="66">
        <v>0.048</v>
      </c>
      <c r="AM111" s="66">
        <v>2.16</v>
      </c>
      <c r="AN111" s="66">
        <v>0.101</v>
      </c>
      <c r="AO111" s="66">
        <v>0.045</v>
      </c>
      <c r="AP111" s="66">
        <v>2.441</v>
      </c>
      <c r="AQ111" s="66">
        <v>0.089</v>
      </c>
      <c r="AR111" s="66">
        <v>0.039</v>
      </c>
      <c r="BE111" s="66">
        <v>0.5538</v>
      </c>
      <c r="BF111" s="66">
        <v>0.238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H112" s="82">
        <v>44628.0</v>
      </c>
      <c r="I112" s="66">
        <v>1.409</v>
      </c>
      <c r="K112" s="66">
        <v>0.028</v>
      </c>
      <c r="L112" s="66">
        <v>1.49</v>
      </c>
      <c r="N112" s="66">
        <v>0.026</v>
      </c>
      <c r="Q112" s="66">
        <v>0.028</v>
      </c>
      <c r="T112" s="66">
        <v>0.021</v>
      </c>
      <c r="W112" s="66">
        <v>0.023</v>
      </c>
      <c r="Z112" s="66">
        <v>0.023</v>
      </c>
      <c r="AC112" s="66">
        <v>0.017</v>
      </c>
      <c r="AJ112" s="66">
        <v>2.197</v>
      </c>
      <c r="AK112" s="66">
        <v>0.0337</v>
      </c>
      <c r="AM112" s="66">
        <v>2.23</v>
      </c>
      <c r="AN112" s="66">
        <v>0.0482</v>
      </c>
      <c r="AP112" s="66">
        <v>2.16</v>
      </c>
      <c r="AQ112" s="66">
        <v>0.0637</v>
      </c>
      <c r="BE112" s="66">
        <v>0.2961</v>
      </c>
      <c r="BF112" s="66">
        <v>0.162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H113" s="82">
        <v>44631.0</v>
      </c>
      <c r="I113" s="66">
        <v>0.29</v>
      </c>
      <c r="J113" s="66">
        <v>0.0391</v>
      </c>
      <c r="K113" s="66">
        <v>0.013</v>
      </c>
      <c r="L113" s="66">
        <v>0.205</v>
      </c>
      <c r="M113" s="66">
        <v>0.0533</v>
      </c>
      <c r="N113" s="66">
        <v>0.017</v>
      </c>
      <c r="O113" s="66">
        <v>0.539</v>
      </c>
      <c r="P113" s="66">
        <v>0.0476</v>
      </c>
      <c r="Q113" s="66">
        <v>0.016</v>
      </c>
      <c r="R113" s="66">
        <v>0.3</v>
      </c>
      <c r="S113" s="66">
        <v>0.0385</v>
      </c>
      <c r="T113" s="66">
        <v>0.013</v>
      </c>
      <c r="AB113" s="66"/>
      <c r="AC113" s="66"/>
      <c r="AD113" s="66"/>
      <c r="AE113" s="66"/>
      <c r="AF113" s="66"/>
      <c r="AG113" s="66">
        <v>1.9089</v>
      </c>
      <c r="AH113" s="66">
        <v>0.63</v>
      </c>
      <c r="AJ113" s="66">
        <v>1.68</v>
      </c>
      <c r="AK113" s="66">
        <v>0.0536</v>
      </c>
      <c r="AL113" s="66">
        <v>0.019</v>
      </c>
      <c r="AM113" s="66">
        <v>1.76</v>
      </c>
      <c r="AN113" s="66">
        <v>0.05</v>
      </c>
      <c r="AO113" s="66">
        <v>0.018</v>
      </c>
      <c r="AP113" s="66">
        <v>1.52</v>
      </c>
      <c r="AQ113" s="66">
        <v>0.0535</v>
      </c>
      <c r="AR113" s="66">
        <v>0.019</v>
      </c>
      <c r="BE113" s="66">
        <v>1.0937</v>
      </c>
      <c r="BF113" s="66">
        <v>0.396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H114" s="82">
        <v>44631.0</v>
      </c>
      <c r="I114" s="66">
        <v>1.03</v>
      </c>
      <c r="J114" s="66">
        <v>0.23</v>
      </c>
      <c r="K114" s="66">
        <v>0.076</v>
      </c>
      <c r="L114" s="66">
        <v>1.06</v>
      </c>
      <c r="M114" s="66">
        <v>0.2506</v>
      </c>
      <c r="N114" s="66">
        <v>0.081</v>
      </c>
      <c r="AB114" s="66"/>
      <c r="AC114" s="66"/>
      <c r="AD114" s="66"/>
      <c r="AE114" s="66"/>
      <c r="AF114" s="66"/>
      <c r="AG114" s="66">
        <v>1.2097</v>
      </c>
      <c r="AH114" s="66">
        <v>0.395</v>
      </c>
      <c r="AJ114" s="66">
        <v>1.38</v>
      </c>
      <c r="AK114" s="66">
        <v>0.2784</v>
      </c>
      <c r="AL114" s="66">
        <v>0.111</v>
      </c>
      <c r="AM114" s="66">
        <v>1.51</v>
      </c>
      <c r="AN114" s="66">
        <v>0.1889</v>
      </c>
      <c r="AO114" s="66">
        <v>0.069</v>
      </c>
      <c r="AP114" s="66">
        <v>1.51</v>
      </c>
      <c r="AQ114" s="66">
        <v>0.1532</v>
      </c>
      <c r="AR114" s="66">
        <v>0.057</v>
      </c>
      <c r="BE114" s="66">
        <v>0.3955</v>
      </c>
      <c r="BF114" s="66">
        <v>0.152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H115" s="82">
        <v>44631.0</v>
      </c>
      <c r="I115" s="66">
        <v>0.925</v>
      </c>
      <c r="J115" s="66">
        <v>0.1323</v>
      </c>
      <c r="K115" s="66">
        <v>0.045</v>
      </c>
      <c r="L115" s="66">
        <v>0.97</v>
      </c>
      <c r="M115" s="66">
        <v>0.1025</v>
      </c>
      <c r="N115" s="66">
        <v>0.034</v>
      </c>
      <c r="AB115" s="66"/>
      <c r="AC115" s="66"/>
      <c r="AD115" s="66"/>
      <c r="AE115" s="66"/>
      <c r="AF115" s="66"/>
      <c r="AG115" s="66">
        <v>1.552</v>
      </c>
      <c r="AH115" s="66">
        <v>0.497</v>
      </c>
      <c r="AJ115" s="66">
        <v>1.51</v>
      </c>
      <c r="AK115" s="66">
        <v>0.1172</v>
      </c>
      <c r="AL115" s="66">
        <v>0.046</v>
      </c>
      <c r="AM115" s="66">
        <v>1.41</v>
      </c>
      <c r="AN115" s="66">
        <v>0.1535</v>
      </c>
      <c r="AO115" s="66">
        <v>0.056</v>
      </c>
      <c r="AP115" s="66">
        <v>1.3</v>
      </c>
      <c r="AQ115" s="66">
        <v>0.1487</v>
      </c>
      <c r="AR115" s="66">
        <v>0.054</v>
      </c>
      <c r="BE115" s="66">
        <v>0.4237</v>
      </c>
      <c r="BF115" s="66">
        <v>0.157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H116" s="82">
        <v>44631.0</v>
      </c>
      <c r="I116" s="66">
        <v>0.916</v>
      </c>
      <c r="J116" s="66">
        <v>0.1081</v>
      </c>
      <c r="K116" s="66">
        <v>0.044</v>
      </c>
      <c r="L116" s="66">
        <v>0.671</v>
      </c>
      <c r="M116" s="66">
        <v>0.1054</v>
      </c>
      <c r="N116" s="66">
        <v>0.039</v>
      </c>
      <c r="O116" s="66">
        <v>0.858</v>
      </c>
      <c r="P116" s="66">
        <v>0.086</v>
      </c>
      <c r="Q116" s="66">
        <v>0.034</v>
      </c>
      <c r="AB116" s="66"/>
      <c r="AC116" s="66"/>
      <c r="AD116" s="66"/>
      <c r="AE116" s="66"/>
      <c r="AF116" s="66"/>
      <c r="AG116" s="66">
        <v>2.1401</v>
      </c>
      <c r="AH116" s="66">
        <v>0.825</v>
      </c>
      <c r="AJ116" s="66">
        <v>1.8</v>
      </c>
      <c r="AK116" s="66">
        <v>0.0636</v>
      </c>
      <c r="AL116" s="66">
        <v>0.028</v>
      </c>
      <c r="AM116" s="66">
        <v>1.61</v>
      </c>
      <c r="AN116" s="66">
        <v>0.939</v>
      </c>
      <c r="AO116" s="66">
        <v>0.04</v>
      </c>
      <c r="AP116" s="66">
        <v>1.9</v>
      </c>
      <c r="AQ116" s="66">
        <v>0.0892</v>
      </c>
      <c r="AR116" s="66">
        <v>0.038</v>
      </c>
      <c r="BE116" s="66">
        <v>0.2543</v>
      </c>
      <c r="BF116" s="66">
        <v>0.103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  <c r="H117" s="82">
        <v>44631.0</v>
      </c>
      <c r="I117" s="66">
        <v>1.19</v>
      </c>
      <c r="J117" s="66">
        <v>0.2613</v>
      </c>
      <c r="K117" s="66">
        <v>0.08</v>
      </c>
      <c r="L117" s="66">
        <v>1.17</v>
      </c>
      <c r="M117" s="66">
        <v>0.1891</v>
      </c>
      <c r="N117" s="66">
        <v>0.052</v>
      </c>
      <c r="O117" s="66">
        <v>1.06</v>
      </c>
      <c r="P117" s="66">
        <v>0.3036</v>
      </c>
      <c r="Q117" s="66">
        <v>0.091</v>
      </c>
      <c r="R117" s="66">
        <v>1.61</v>
      </c>
      <c r="S117" s="66">
        <v>0.2067</v>
      </c>
      <c r="T117" s="66">
        <v>0.07</v>
      </c>
      <c r="U117" s="66">
        <v>1.02</v>
      </c>
      <c r="V117" s="66">
        <v>0.1674</v>
      </c>
      <c r="W117" s="66">
        <v>0.052</v>
      </c>
      <c r="X117" s="66">
        <v>1.08</v>
      </c>
      <c r="Y117" s="66">
        <v>0.2707</v>
      </c>
      <c r="Z117" s="66">
        <v>0.079</v>
      </c>
      <c r="AA117" s="66">
        <v>1.39</v>
      </c>
      <c r="AB117" s="66">
        <v>0.2556</v>
      </c>
      <c r="AC117" s="66">
        <v>0.079</v>
      </c>
      <c r="AD117" s="66">
        <v>1.24</v>
      </c>
      <c r="AE117" s="66">
        <v>0.2614</v>
      </c>
      <c r="AF117" s="66">
        <v>0.083</v>
      </c>
      <c r="AG117" s="66" t="s">
        <v>58</v>
      </c>
      <c r="AH117" s="66" t="s">
        <v>58</v>
      </c>
      <c r="AJ117" s="66">
        <v>2.45</v>
      </c>
      <c r="AK117" s="66">
        <v>0.147</v>
      </c>
      <c r="AL117" s="66">
        <v>0.061</v>
      </c>
      <c r="AM117" s="66">
        <v>1.97</v>
      </c>
      <c r="AN117" s="66">
        <v>0.1646</v>
      </c>
      <c r="AO117" s="66">
        <v>0.079</v>
      </c>
      <c r="AP117" s="66">
        <v>2.02</v>
      </c>
      <c r="AQ117" s="66">
        <v>0.2072</v>
      </c>
      <c r="AR117" s="66">
        <v>0.084</v>
      </c>
      <c r="AS117" s="66">
        <v>2.21</v>
      </c>
      <c r="AT117" s="66">
        <v>0.1639</v>
      </c>
      <c r="AU117" s="66">
        <v>0.08</v>
      </c>
      <c r="AV117" s="66">
        <v>2.064</v>
      </c>
      <c r="AW117" s="66">
        <v>0.137</v>
      </c>
      <c r="AX117" s="66">
        <v>0.072</v>
      </c>
      <c r="AY117" s="66">
        <v>2.14</v>
      </c>
      <c r="AZ117" s="66">
        <v>0.1255</v>
      </c>
      <c r="BA117" s="66">
        <v>0.063</v>
      </c>
      <c r="BB117" s="66">
        <v>2.14</v>
      </c>
      <c r="BC117" s="66">
        <v>0.1373</v>
      </c>
      <c r="BD117" s="66">
        <v>0.104</v>
      </c>
    </row>
    <row r="118">
      <c r="A118" s="66" t="s">
        <v>89</v>
      </c>
      <c r="B118" s="106" t="s">
        <v>143</v>
      </c>
      <c r="C118" s="66" t="s">
        <v>89</v>
      </c>
      <c r="D118" s="114" t="s">
        <v>160</v>
      </c>
      <c r="E118" s="66" t="s">
        <v>165</v>
      </c>
      <c r="H118" s="82">
        <v>44628.0</v>
      </c>
      <c r="I118" s="66"/>
      <c r="J118" s="66"/>
      <c r="L118" s="66"/>
      <c r="M118" s="66"/>
      <c r="O118" s="66"/>
      <c r="P118" s="66"/>
      <c r="R118" s="66"/>
      <c r="S118" s="66"/>
      <c r="U118" s="66"/>
      <c r="V118" s="66"/>
      <c r="X118" s="66"/>
      <c r="Y118" s="66"/>
      <c r="AA118" s="66"/>
      <c r="AB118" s="66"/>
      <c r="AJ118" s="66">
        <v>1.58</v>
      </c>
      <c r="AK118" s="66">
        <v>0.1919</v>
      </c>
      <c r="AL118" s="66">
        <v>0.058</v>
      </c>
      <c r="AM118" s="66">
        <v>1.76</v>
      </c>
      <c r="AN118" s="66">
        <v>0.2642</v>
      </c>
      <c r="AO118" s="66">
        <v>0.062</v>
      </c>
      <c r="AP118" s="66">
        <v>1.74</v>
      </c>
      <c r="AQ118" s="66">
        <v>0.2412</v>
      </c>
      <c r="AR118" s="66">
        <v>0.08</v>
      </c>
      <c r="AS118" s="66">
        <v>1.723</v>
      </c>
      <c r="AT118" s="66">
        <v>0.2448</v>
      </c>
      <c r="AU118" s="66">
        <v>0.065</v>
      </c>
      <c r="AV118" s="66">
        <v>1.95</v>
      </c>
      <c r="AW118" s="66">
        <v>0.2199</v>
      </c>
      <c r="AX118" s="66">
        <v>0.056</v>
      </c>
      <c r="AY118" s="66">
        <v>1.438</v>
      </c>
      <c r="AZ118" s="66">
        <v>0.2008</v>
      </c>
      <c r="BA118" s="66">
        <v>0.044</v>
      </c>
      <c r="BB118" s="66">
        <v>1.41</v>
      </c>
      <c r="BC118" s="66">
        <v>0.3537</v>
      </c>
      <c r="BD118" s="66">
        <v>0.053</v>
      </c>
    </row>
    <row r="119">
      <c r="A119" s="66" t="s">
        <v>89</v>
      </c>
      <c r="B119" s="106" t="s">
        <v>143</v>
      </c>
      <c r="C119" s="66" t="s">
        <v>89</v>
      </c>
      <c r="D119" s="114" t="s">
        <v>95</v>
      </c>
      <c r="E119" s="66" t="s">
        <v>164</v>
      </c>
      <c r="H119" s="82">
        <v>44628.0</v>
      </c>
      <c r="I119" s="66"/>
      <c r="J119" s="66"/>
      <c r="L119" s="66"/>
      <c r="M119" s="66"/>
      <c r="O119" s="66"/>
      <c r="P119" s="66"/>
      <c r="R119" s="66"/>
      <c r="S119" s="66"/>
      <c r="U119" s="66"/>
      <c r="V119" s="66"/>
      <c r="X119" s="66"/>
      <c r="Y119" s="66"/>
      <c r="AA119" s="66"/>
      <c r="AB119" s="66"/>
      <c r="AJ119" s="66">
        <v>2.131</v>
      </c>
      <c r="AK119" s="66">
        <v>0.4783</v>
      </c>
      <c r="AM119" s="66">
        <v>2.442</v>
      </c>
      <c r="AN119" s="66">
        <v>0.7536</v>
      </c>
      <c r="AP119" s="66">
        <v>2.289</v>
      </c>
      <c r="AQ119" s="66">
        <v>0.7049</v>
      </c>
      <c r="AS119" s="66">
        <v>2.436</v>
      </c>
      <c r="AT119" s="66">
        <v>0.7593</v>
      </c>
      <c r="AV119" s="66">
        <v>2.629</v>
      </c>
      <c r="AW119" s="66">
        <v>0.3663</v>
      </c>
      <c r="AY119" s="66">
        <v>2.142</v>
      </c>
      <c r="AZ119" s="66">
        <v>0.56</v>
      </c>
      <c r="BB119" s="66">
        <v>2.138</v>
      </c>
      <c r="BC119" s="66">
        <v>0.4725</v>
      </c>
    </row>
    <row r="120">
      <c r="A120" s="66" t="s">
        <v>124</v>
      </c>
      <c r="B120" s="106" t="s">
        <v>124</v>
      </c>
      <c r="C120" s="66" t="s">
        <v>124</v>
      </c>
      <c r="D120" s="114" t="s">
        <v>95</v>
      </c>
      <c r="E120" s="66" t="s">
        <v>159</v>
      </c>
      <c r="H120" s="82">
        <v>44631.0</v>
      </c>
      <c r="I120" s="66">
        <v>1.33</v>
      </c>
      <c r="J120" s="66">
        <v>0.9553</v>
      </c>
      <c r="K120" s="66">
        <v>0.294</v>
      </c>
      <c r="L120" s="66">
        <v>1.39</v>
      </c>
      <c r="M120" s="66">
        <v>0.674</v>
      </c>
      <c r="N120" s="66">
        <v>0.215</v>
      </c>
      <c r="O120" s="66">
        <v>1.08</v>
      </c>
      <c r="P120" s="66">
        <v>0.8819</v>
      </c>
      <c r="Q120" s="66">
        <v>0.307</v>
      </c>
      <c r="R120" s="66">
        <v>1.307</v>
      </c>
      <c r="S120" s="66">
        <v>0.7235</v>
      </c>
      <c r="T120" s="66">
        <v>0.259</v>
      </c>
      <c r="U120" s="66">
        <v>1.27</v>
      </c>
      <c r="V120" s="66">
        <v>0.9208</v>
      </c>
      <c r="W120" s="66">
        <v>0.298</v>
      </c>
      <c r="X120" s="66">
        <v>1.38</v>
      </c>
      <c r="Y120" s="66">
        <v>1.2831</v>
      </c>
      <c r="Z120" s="66">
        <v>0.412</v>
      </c>
      <c r="AA120" s="66">
        <v>1.4</v>
      </c>
      <c r="AB120" s="66">
        <v>0.7079</v>
      </c>
      <c r="AC120" s="66">
        <v>0.25</v>
      </c>
      <c r="AG120" s="66" t="s">
        <v>58</v>
      </c>
      <c r="AH120" s="66" t="s">
        <v>58</v>
      </c>
      <c r="AJ120" s="66">
        <v>3.51</v>
      </c>
      <c r="AK120" s="66">
        <v>0.3807</v>
      </c>
      <c r="AL120" s="66">
        <v>0.151</v>
      </c>
      <c r="AM120" s="66">
        <v>3.01</v>
      </c>
      <c r="AN120" s="66">
        <v>0.4194</v>
      </c>
      <c r="AO120" s="66">
        <v>0.159</v>
      </c>
      <c r="AP120" s="66">
        <v>2.07</v>
      </c>
      <c r="AQ120" s="66">
        <v>0.3689</v>
      </c>
      <c r="AR120" s="66">
        <v>0.127</v>
      </c>
      <c r="AS120" s="66">
        <v>3.117</v>
      </c>
      <c r="AT120" s="66">
        <v>0.3069</v>
      </c>
      <c r="AU120" s="66">
        <v>0.129</v>
      </c>
      <c r="AV120" s="66">
        <v>2.87</v>
      </c>
      <c r="AW120" s="66">
        <v>0.3035</v>
      </c>
      <c r="AX120" s="66">
        <v>0.119</v>
      </c>
    </row>
    <row r="121">
      <c r="A121" s="66" t="s">
        <v>104</v>
      </c>
      <c r="B121" s="106" t="s">
        <v>107</v>
      </c>
      <c r="C121" s="66" t="s">
        <v>104</v>
      </c>
      <c r="D121" s="114" t="s">
        <v>95</v>
      </c>
      <c r="E121" s="66" t="s">
        <v>162</v>
      </c>
      <c r="H121" s="82">
        <v>44631.0</v>
      </c>
      <c r="I121" s="66">
        <v>1.34</v>
      </c>
      <c r="J121" s="66">
        <v>0.794</v>
      </c>
      <c r="K121" s="66">
        <v>0.253</v>
      </c>
      <c r="L121" s="66">
        <v>1.68</v>
      </c>
      <c r="M121" s="66">
        <v>0.4068</v>
      </c>
      <c r="N121" s="66">
        <v>0.151</v>
      </c>
      <c r="O121" s="66">
        <v>1.29</v>
      </c>
      <c r="P121" s="66">
        <v>0.7535</v>
      </c>
      <c r="Q121" s="66">
        <v>0.228</v>
      </c>
      <c r="R121" s="66">
        <v>1.33</v>
      </c>
      <c r="S121" s="66">
        <v>0.6313</v>
      </c>
      <c r="T121" s="66">
        <v>0.206</v>
      </c>
      <c r="U121" s="66">
        <v>1.52</v>
      </c>
      <c r="V121" s="66">
        <v>0.4369</v>
      </c>
      <c r="W121" s="66">
        <v>0.141</v>
      </c>
      <c r="X121" s="66">
        <v>1.49</v>
      </c>
      <c r="Y121" s="66">
        <v>0.4005</v>
      </c>
      <c r="Z121" s="66">
        <v>0.131</v>
      </c>
      <c r="AA121" s="66">
        <v>1.87</v>
      </c>
      <c r="AB121" s="66">
        <v>0.619</v>
      </c>
      <c r="AC121" s="66">
        <v>0.244</v>
      </c>
      <c r="AD121" s="66">
        <v>1.66</v>
      </c>
      <c r="AE121" s="66">
        <v>0.3149</v>
      </c>
      <c r="AF121" s="66">
        <v>0.129</v>
      </c>
      <c r="AG121" s="66" t="s">
        <v>58</v>
      </c>
      <c r="AH121" s="66" t="s">
        <v>58</v>
      </c>
      <c r="AJ121" s="66">
        <v>2.12</v>
      </c>
      <c r="AK121" s="66">
        <v>0.7313</v>
      </c>
      <c r="AL121" s="66">
        <v>0.249</v>
      </c>
      <c r="AM121" s="66">
        <v>2.3</v>
      </c>
      <c r="AN121" s="66">
        <v>0.9299</v>
      </c>
      <c r="AO121" s="66">
        <v>0.346</v>
      </c>
      <c r="AP121" s="66">
        <v>2.14</v>
      </c>
      <c r="AQ121" s="66">
        <v>0.7828</v>
      </c>
      <c r="AR121" s="66">
        <v>0.243</v>
      </c>
      <c r="AS121" s="66">
        <v>2.302</v>
      </c>
      <c r="AT121" s="66">
        <v>0.717</v>
      </c>
      <c r="AU121" s="66">
        <v>0.251</v>
      </c>
      <c r="AV121" s="66">
        <v>2.52</v>
      </c>
      <c r="AW121" s="66">
        <v>0.7471</v>
      </c>
      <c r="AX121" s="66">
        <v>0.277</v>
      </c>
      <c r="AY121" s="66">
        <v>2.46</v>
      </c>
      <c r="AZ121" s="66">
        <v>0.5909</v>
      </c>
      <c r="BA121" s="66">
        <v>0.212</v>
      </c>
    </row>
    <row r="122">
      <c r="A122" s="66" t="s">
        <v>98</v>
      </c>
      <c r="B122" s="106" t="s">
        <v>105</v>
      </c>
      <c r="C122" s="66" t="s">
        <v>304</v>
      </c>
      <c r="D122" s="114" t="s">
        <v>56</v>
      </c>
      <c r="E122" s="66">
        <v>2093.0</v>
      </c>
      <c r="H122" s="82">
        <v>44631.0</v>
      </c>
      <c r="AJ122" s="66">
        <v>2.6</v>
      </c>
      <c r="AK122" s="66">
        <v>0.4606</v>
      </c>
      <c r="AL122" s="66">
        <v>0.293</v>
      </c>
      <c r="AM122" s="66">
        <v>2.16</v>
      </c>
      <c r="AN122" s="66">
        <v>0.4621</v>
      </c>
      <c r="AO122" s="66">
        <v>0.295</v>
      </c>
      <c r="AP122" s="66">
        <v>2.01</v>
      </c>
      <c r="AQ122" s="66">
        <v>0.2604</v>
      </c>
      <c r="AR122" s="66">
        <v>0.162</v>
      </c>
      <c r="AS122" s="66">
        <v>1.7</v>
      </c>
      <c r="AT122" s="66">
        <v>0.2671</v>
      </c>
      <c r="AU122" s="66">
        <v>0.169</v>
      </c>
      <c r="AV122" s="66">
        <v>1.85</v>
      </c>
      <c r="AW122" s="66">
        <v>0.4346</v>
      </c>
      <c r="AX122" s="66">
        <v>0.27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2092.0</v>
      </c>
      <c r="H123" s="82">
        <v>44631.0</v>
      </c>
      <c r="AJ123" s="66">
        <v>1.5</v>
      </c>
      <c r="AK123" s="66">
        <v>0.2043</v>
      </c>
      <c r="AL123" s="66">
        <v>0.125</v>
      </c>
      <c r="AM123" s="66">
        <v>1.52</v>
      </c>
      <c r="AN123" s="66">
        <v>0.1917</v>
      </c>
      <c r="AO123" s="66">
        <v>0.118</v>
      </c>
      <c r="AP123" s="66">
        <v>1.81</v>
      </c>
      <c r="AQ123" s="66">
        <v>0.1643</v>
      </c>
      <c r="AR123" s="66">
        <v>0.101</v>
      </c>
      <c r="AS123" s="66">
        <v>1.55</v>
      </c>
      <c r="AT123" s="66">
        <v>0.1988</v>
      </c>
      <c r="AU123" s="66">
        <v>0.123</v>
      </c>
      <c r="AV123" s="66">
        <v>1.85</v>
      </c>
      <c r="AW123" s="66">
        <v>0.2994</v>
      </c>
      <c r="AX123" s="66">
        <v>0.188</v>
      </c>
      <c r="AY123" s="66">
        <v>2.4</v>
      </c>
      <c r="AZ123" s="66">
        <v>0.2204</v>
      </c>
      <c r="BA123" s="66">
        <v>0.139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2091.0</v>
      </c>
      <c r="H124" s="82">
        <v>44631.0</v>
      </c>
      <c r="AJ124" s="66">
        <v>1.35</v>
      </c>
      <c r="AK124" s="66">
        <v>0.172</v>
      </c>
      <c r="AL124" s="66">
        <v>0.102</v>
      </c>
      <c r="AM124" s="66">
        <v>0.85</v>
      </c>
      <c r="AN124" s="66">
        <v>0.1109</v>
      </c>
      <c r="AO124" s="66">
        <v>0.066</v>
      </c>
      <c r="AP124" s="66">
        <v>1.1</v>
      </c>
      <c r="AQ124" s="66">
        <v>0.2488</v>
      </c>
      <c r="AR124" s="66">
        <v>0.149</v>
      </c>
      <c r="AS124" s="66">
        <v>0.91</v>
      </c>
      <c r="AT124" s="66">
        <v>0.1824</v>
      </c>
      <c r="AU124" s="66">
        <v>0.108</v>
      </c>
    </row>
    <row r="125">
      <c r="A125" s="66" t="s">
        <v>98</v>
      </c>
      <c r="B125" s="106" t="s">
        <v>105</v>
      </c>
      <c r="C125" s="66" t="s">
        <v>304</v>
      </c>
      <c r="D125" s="114" t="s">
        <v>61</v>
      </c>
      <c r="E125" s="66">
        <v>2090.0</v>
      </c>
      <c r="H125" s="82"/>
    </row>
    <row r="126">
      <c r="A126" s="66" t="s">
        <v>98</v>
      </c>
      <c r="B126" s="106" t="s">
        <v>105</v>
      </c>
      <c r="C126" s="66" t="s">
        <v>304</v>
      </c>
      <c r="D126" s="114" t="s">
        <v>56</v>
      </c>
      <c r="E126" s="66">
        <v>2089.0</v>
      </c>
      <c r="H126" s="82">
        <v>44631.0</v>
      </c>
      <c r="AJ126" s="66">
        <v>1.92</v>
      </c>
      <c r="AK126" s="66">
        <v>0.2453</v>
      </c>
      <c r="AL126" s="66">
        <v>0.144</v>
      </c>
      <c r="AM126" s="66">
        <v>3.0</v>
      </c>
      <c r="AN126" s="66">
        <v>0.2231</v>
      </c>
      <c r="AO126" s="66">
        <v>0.141</v>
      </c>
      <c r="AP126" s="66">
        <v>1.34</v>
      </c>
      <c r="AQ126" s="66">
        <v>0.1338</v>
      </c>
      <c r="AR126" s="66">
        <v>0.081</v>
      </c>
      <c r="AS126" s="66">
        <v>1.95</v>
      </c>
      <c r="AT126" s="66">
        <v>0.2811</v>
      </c>
      <c r="AU126" s="66">
        <v>0.17</v>
      </c>
      <c r="AV126" s="66">
        <v>2.65</v>
      </c>
      <c r="AW126" s="66">
        <v>0.2049</v>
      </c>
      <c r="AX126" s="66">
        <v>0.126</v>
      </c>
      <c r="AY126" s="66">
        <v>1.75</v>
      </c>
      <c r="BA126" s="66">
        <v>0.178</v>
      </c>
    </row>
    <row r="127">
      <c r="A127" s="66" t="s">
        <v>98</v>
      </c>
      <c r="B127" s="106" t="s">
        <v>105</v>
      </c>
      <c r="C127" s="66" t="s">
        <v>304</v>
      </c>
      <c r="D127" s="114" t="s">
        <v>61</v>
      </c>
      <c r="E127" s="66">
        <v>2088.0</v>
      </c>
      <c r="H127" s="82">
        <v>44631.0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2087.0</v>
      </c>
      <c r="H128" s="82">
        <v>44631.0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2086.0</v>
      </c>
      <c r="H129" s="82">
        <v>44631.0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2085.0</v>
      </c>
      <c r="H130" s="82">
        <v>44631.0</v>
      </c>
    </row>
    <row r="131">
      <c r="A131" s="66" t="s">
        <v>124</v>
      </c>
      <c r="B131" s="106" t="s">
        <v>124</v>
      </c>
      <c r="C131" s="66" t="s">
        <v>124</v>
      </c>
      <c r="D131" s="114" t="s">
        <v>61</v>
      </c>
      <c r="E131" s="66">
        <v>2020.0</v>
      </c>
      <c r="H131" s="82">
        <v>44631.0</v>
      </c>
      <c r="AJ131" s="66">
        <v>2.2</v>
      </c>
      <c r="AK131" s="66">
        <v>0.0662</v>
      </c>
      <c r="AL131" s="66">
        <v>0.042</v>
      </c>
      <c r="AM131" s="66">
        <v>2.02</v>
      </c>
      <c r="AN131" s="66">
        <v>0.0965</v>
      </c>
      <c r="AO131" s="66">
        <v>0.04</v>
      </c>
      <c r="AP131" s="66">
        <v>2.3</v>
      </c>
      <c r="AQ131" s="66">
        <v>0.1752</v>
      </c>
      <c r="AR131" s="66">
        <v>0.084</v>
      </c>
      <c r="BE131" s="66">
        <v>0.4108</v>
      </c>
      <c r="BF131" s="66">
        <v>0.184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2021.0</v>
      </c>
      <c r="H132" s="82">
        <v>44631.0</v>
      </c>
      <c r="AJ132" s="66">
        <v>1.91</v>
      </c>
      <c r="AK132" s="66">
        <v>0.0512</v>
      </c>
      <c r="AL132" s="66">
        <v>0.022</v>
      </c>
      <c r="AM132" s="66">
        <v>1.81</v>
      </c>
      <c r="AN132" s="66">
        <v>0.0827</v>
      </c>
      <c r="AO132" s="66">
        <v>0.04</v>
      </c>
      <c r="AP132" s="66">
        <v>1.9</v>
      </c>
      <c r="AQ132" s="66">
        <v>0.0791</v>
      </c>
      <c r="AR132" s="66">
        <v>0.038</v>
      </c>
      <c r="BE132" s="66">
        <v>0.1519</v>
      </c>
      <c r="BF132" s="66">
        <v>0.073</v>
      </c>
    </row>
    <row r="133">
      <c r="A133" s="66" t="s">
        <v>124</v>
      </c>
      <c r="B133" s="106" t="s">
        <v>124</v>
      </c>
      <c r="C133" s="66" t="s">
        <v>124</v>
      </c>
      <c r="D133" s="114" t="s">
        <v>56</v>
      </c>
      <c r="E133" s="66">
        <v>2022.0</v>
      </c>
      <c r="H133" s="82">
        <v>44631.0</v>
      </c>
      <c r="AJ133" s="66">
        <v>2.05</v>
      </c>
      <c r="AK133" s="66">
        <v>0.51</v>
      </c>
      <c r="AL133" s="66">
        <v>0.284</v>
      </c>
      <c r="AM133" s="66">
        <v>1.85</v>
      </c>
      <c r="AN133" s="66">
        <v>0.3516</v>
      </c>
      <c r="AO133" s="66">
        <v>0.149</v>
      </c>
      <c r="AP133" s="66">
        <v>1.95</v>
      </c>
      <c r="AQ133" s="66">
        <v>0.3043</v>
      </c>
      <c r="AR133" s="66">
        <v>0.24</v>
      </c>
      <c r="AS133" s="66">
        <v>2.1</v>
      </c>
      <c r="AT133" s="66">
        <v>0.4818</v>
      </c>
      <c r="AU133" s="66">
        <v>0.162</v>
      </c>
      <c r="AV133" s="66">
        <v>2.1</v>
      </c>
      <c r="AW133" s="66">
        <v>0.2643</v>
      </c>
      <c r="AX133" s="66">
        <v>0.172</v>
      </c>
      <c r="BE133" s="66">
        <v>1.9981</v>
      </c>
      <c r="BF133" s="66">
        <v>0.926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2023.0</v>
      </c>
      <c r="H134" s="82">
        <v>44631.0</v>
      </c>
      <c r="AJ134" s="66">
        <v>1.43</v>
      </c>
      <c r="AK134" s="66">
        <v>0.2813</v>
      </c>
      <c r="AL134" s="66">
        <v>0.133</v>
      </c>
      <c r="AM134" s="66">
        <v>1.55</v>
      </c>
      <c r="AN134" s="66">
        <v>0.2097</v>
      </c>
      <c r="AO134" s="66">
        <v>0.097</v>
      </c>
      <c r="AP134" s="66">
        <v>1.75</v>
      </c>
      <c r="AQ134" s="66">
        <v>0.2038</v>
      </c>
      <c r="AR134" s="66">
        <v>0.089</v>
      </c>
      <c r="AS134" s="66">
        <v>1.85</v>
      </c>
      <c r="AT134" s="66">
        <v>0.3284</v>
      </c>
      <c r="AV134" s="66">
        <v>1.7</v>
      </c>
      <c r="AW134" s="66">
        <v>0.3539</v>
      </c>
      <c r="BE134" s="81">
        <f>0.9686+0.827</f>
        <v>1.7956</v>
      </c>
      <c r="BF134" s="66">
        <v>0.453</v>
      </c>
    </row>
    <row r="135">
      <c r="A135" s="66" t="s">
        <v>124</v>
      </c>
      <c r="B135" s="106" t="s">
        <v>124</v>
      </c>
      <c r="C135" s="66" t="s">
        <v>124</v>
      </c>
      <c r="D135" s="114" t="s">
        <v>61</v>
      </c>
      <c r="E135" s="66">
        <v>2024.0</v>
      </c>
      <c r="H135" s="82">
        <v>44631.0</v>
      </c>
      <c r="AJ135" s="66">
        <v>1.65</v>
      </c>
      <c r="AK135" s="66">
        <v>0.1186</v>
      </c>
      <c r="AL135" s="66">
        <v>0.045</v>
      </c>
      <c r="AM135" s="66">
        <v>1.72</v>
      </c>
      <c r="AN135" s="66">
        <v>0.1225</v>
      </c>
      <c r="AO135" s="66">
        <v>0.048</v>
      </c>
      <c r="BE135" s="66">
        <v>0.5526</v>
      </c>
      <c r="BF135" s="66">
        <v>0.21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2025.0</v>
      </c>
      <c r="H136" s="82">
        <v>44631.0</v>
      </c>
      <c r="AJ136" s="66">
        <v>2.07</v>
      </c>
      <c r="AK136" s="66">
        <v>0.1415</v>
      </c>
      <c r="AL136" s="66">
        <v>0.067</v>
      </c>
      <c r="AM136" s="66">
        <v>1.71</v>
      </c>
      <c r="AN136" s="66">
        <v>0.1603</v>
      </c>
      <c r="AO136" s="66">
        <v>0.074</v>
      </c>
      <c r="AP136" s="66">
        <v>1.64</v>
      </c>
      <c r="AQ136" s="66">
        <v>0.0891</v>
      </c>
      <c r="AR136" s="66">
        <v>0.042</v>
      </c>
      <c r="AS136" s="66">
        <v>1.79</v>
      </c>
      <c r="AT136" s="66">
        <v>0.1065</v>
      </c>
      <c r="AU136" s="66">
        <v>0.052</v>
      </c>
      <c r="BE136" s="66">
        <v>0.2059</v>
      </c>
      <c r="BF136" s="66">
        <v>0.053</v>
      </c>
    </row>
    <row r="137">
      <c r="A137" s="66" t="s">
        <v>124</v>
      </c>
      <c r="B137" s="106" t="s">
        <v>125</v>
      </c>
      <c r="C137" s="66" t="s">
        <v>305</v>
      </c>
      <c r="D137" s="114" t="s">
        <v>61</v>
      </c>
      <c r="E137" s="66">
        <v>2026.0</v>
      </c>
      <c r="H137" s="82">
        <v>44631.0</v>
      </c>
      <c r="AJ137" s="66">
        <v>1.96</v>
      </c>
      <c r="AK137" s="66">
        <v>0.1443</v>
      </c>
      <c r="AL137" s="66">
        <v>0.067</v>
      </c>
      <c r="AM137" s="66">
        <v>1.93</v>
      </c>
      <c r="AN137" s="66">
        <v>0.0864</v>
      </c>
      <c r="AO137" s="66">
        <v>0.037</v>
      </c>
      <c r="BE137" s="66">
        <v>0.2601</v>
      </c>
      <c r="BF137" s="66">
        <v>0.117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2027.0</v>
      </c>
      <c r="H138" s="82">
        <v>44631.0</v>
      </c>
      <c r="AL138" s="66">
        <v>0.042</v>
      </c>
      <c r="AO138" s="66">
        <v>0.111</v>
      </c>
      <c r="AR138" s="66">
        <v>0.057</v>
      </c>
      <c r="BF138" s="66">
        <v>0.234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2028.0</v>
      </c>
    </row>
    <row r="140">
      <c r="A140" s="66" t="s">
        <v>124</v>
      </c>
      <c r="B140" s="106" t="s">
        <v>125</v>
      </c>
      <c r="C140" s="66" t="s">
        <v>305</v>
      </c>
      <c r="D140" s="114" t="s">
        <v>56</v>
      </c>
      <c r="E140" s="66">
        <v>2029.0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2030.0</v>
      </c>
    </row>
    <row r="142">
      <c r="A142" s="66" t="s">
        <v>124</v>
      </c>
      <c r="B142" s="106" t="s">
        <v>125</v>
      </c>
      <c r="C142" s="66" t="s">
        <v>305</v>
      </c>
      <c r="D142" s="114" t="s">
        <v>61</v>
      </c>
      <c r="E142" s="66">
        <v>2031.0</v>
      </c>
    </row>
    <row r="143">
      <c r="A143" s="66" t="s">
        <v>104</v>
      </c>
      <c r="B143" s="106" t="s">
        <v>105</v>
      </c>
      <c r="C143" s="66" t="s">
        <v>306</v>
      </c>
      <c r="D143" s="114" t="s">
        <v>61</v>
      </c>
      <c r="E143" s="66">
        <v>2012.0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2013.0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2014.0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2015.0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1478.0</v>
      </c>
    </row>
    <row r="149">
      <c r="D149" s="112"/>
    </row>
    <row r="150">
      <c r="D150" s="112"/>
    </row>
    <row r="151">
      <c r="D151" s="112"/>
    </row>
    <row r="152">
      <c r="D152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44635.0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I7" s="81" t="str">
        <f t="shared" ref="AI7:AI136" si="1">AVERAGE(AD7,AA7,X7,U7,R7,O7,L7,I7)</f>
        <v>#DIV/0!</v>
      </c>
      <c r="BG7" s="81" t="str">
        <f t="shared" ref="BG7:BG136" si="2">AVERAGE(BB7,AY7,AV7,AS7,AP7,AM7,AJ7)</f>
        <v>#DIV/0!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AI8" s="81" t="str">
        <f t="shared" si="1"/>
        <v>#DIV/0!</v>
      </c>
      <c r="BG8" s="81" t="str">
        <f t="shared" si="2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AI9" s="81" t="str">
        <f t="shared" si="1"/>
        <v>#DIV/0!</v>
      </c>
      <c r="BG9" s="81" t="str">
        <f t="shared" si="2"/>
        <v>#DIV/0!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AI10" s="81" t="str">
        <f t="shared" si="1"/>
        <v>#DIV/0!</v>
      </c>
      <c r="BG10" s="81" t="str">
        <f t="shared" si="2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AI11" s="81" t="str">
        <f t="shared" si="1"/>
        <v>#DIV/0!</v>
      </c>
      <c r="BG11" s="81" t="str">
        <f t="shared" si="2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AI12" s="81" t="str">
        <f t="shared" si="1"/>
        <v>#DIV/0!</v>
      </c>
      <c r="BG12" s="81" t="str">
        <f t="shared" si="2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AI13" s="81" t="str">
        <f t="shared" si="1"/>
        <v>#DIV/0!</v>
      </c>
      <c r="BG13" s="81" t="str">
        <f t="shared" si="2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AI14" s="81" t="str">
        <f t="shared" si="1"/>
        <v>#DIV/0!</v>
      </c>
      <c r="BG14" s="81" t="str">
        <f t="shared" si="2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AI15" s="81" t="str">
        <f t="shared" si="1"/>
        <v>#DIV/0!</v>
      </c>
      <c r="BG15" s="81" t="str">
        <f t="shared" si="2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AI16" s="81" t="str">
        <f t="shared" si="1"/>
        <v>#DIV/0!</v>
      </c>
      <c r="BG16" s="81" t="str">
        <f t="shared" si="2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AI17" s="81" t="str">
        <f t="shared" si="1"/>
        <v>#DIV/0!</v>
      </c>
      <c r="BG17" s="81" t="str">
        <f t="shared" si="2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AI18" s="81" t="str">
        <f t="shared" si="1"/>
        <v>#DIV/0!</v>
      </c>
      <c r="BG18" s="81" t="str">
        <f t="shared" si="2"/>
        <v>#DIV/0!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I19" s="66">
        <v>1.37</v>
      </c>
      <c r="J19" s="66" t="s">
        <v>58</v>
      </c>
      <c r="L19" s="66">
        <v>1.87</v>
      </c>
      <c r="M19" s="66" t="s">
        <v>58</v>
      </c>
      <c r="O19" s="66">
        <v>1.6</v>
      </c>
      <c r="P19" s="66" t="s">
        <v>58</v>
      </c>
      <c r="AI19" s="81">
        <f t="shared" si="1"/>
        <v>1.613333333</v>
      </c>
      <c r="BG19" s="81" t="str">
        <f t="shared" si="2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AI20" s="81" t="str">
        <f t="shared" si="1"/>
        <v>#DIV/0!</v>
      </c>
      <c r="BG20" s="81" t="str">
        <f t="shared" si="2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AI21" s="81" t="str">
        <f t="shared" si="1"/>
        <v>#DIV/0!</v>
      </c>
      <c r="BG21" s="81" t="str">
        <f t="shared" si="2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AI22" s="81" t="str">
        <f t="shared" si="1"/>
        <v>#DIV/0!</v>
      </c>
      <c r="BG22" s="81" t="str">
        <f t="shared" si="2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AI23" s="81" t="str">
        <f t="shared" si="1"/>
        <v>#DIV/0!</v>
      </c>
      <c r="BG23" s="81" t="str">
        <f t="shared" si="2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0.0</v>
      </c>
      <c r="G24" s="66">
        <v>2.0</v>
      </c>
      <c r="I24" s="66">
        <v>1.54</v>
      </c>
      <c r="J24" s="66">
        <v>0.08</v>
      </c>
      <c r="K24" s="66">
        <v>0.032</v>
      </c>
      <c r="L24" s="81">
        <f>average(1.68,0.82)</f>
        <v>1.25</v>
      </c>
      <c r="M24" s="66">
        <v>0.0721</v>
      </c>
      <c r="N24" s="66">
        <v>0.029</v>
      </c>
      <c r="O24" s="66">
        <v>0.475</v>
      </c>
      <c r="P24" s="66">
        <v>0.0589</v>
      </c>
      <c r="Q24" s="66">
        <v>0.024</v>
      </c>
      <c r="R24" s="66">
        <v>1.85</v>
      </c>
      <c r="S24" s="66">
        <v>0.03</v>
      </c>
      <c r="T24" s="66">
        <v>0.012</v>
      </c>
      <c r="U24" s="66">
        <v>1.05</v>
      </c>
      <c r="V24" s="66" t="s">
        <v>58</v>
      </c>
      <c r="W24" s="66" t="s">
        <v>58</v>
      </c>
      <c r="AG24" s="66">
        <v>0.182</v>
      </c>
      <c r="AH24" s="66">
        <v>0.074</v>
      </c>
      <c r="AI24" s="81">
        <f t="shared" si="1"/>
        <v>1.233</v>
      </c>
      <c r="AJ24" s="66">
        <v>1.89</v>
      </c>
      <c r="AK24" s="66">
        <v>0.1353</v>
      </c>
      <c r="AL24" s="66">
        <v>0.06</v>
      </c>
      <c r="AM24" s="66">
        <v>2.034</v>
      </c>
      <c r="AN24" s="66">
        <v>0.1318</v>
      </c>
      <c r="AO24" s="66">
        <v>0.054</v>
      </c>
      <c r="AP24" s="66">
        <v>2.318</v>
      </c>
      <c r="AQ24" s="66">
        <v>0.1184</v>
      </c>
      <c r="AR24" s="66">
        <v>0.049</v>
      </c>
      <c r="AS24" s="66">
        <v>2.948</v>
      </c>
      <c r="AT24" s="66">
        <v>0.0912</v>
      </c>
      <c r="AU24" s="66">
        <v>0.038</v>
      </c>
      <c r="AV24" s="66">
        <v>2.147</v>
      </c>
      <c r="AW24" s="66">
        <v>0.2872</v>
      </c>
      <c r="AX24" s="66">
        <v>0.16</v>
      </c>
      <c r="BE24" s="66">
        <v>0.2735</v>
      </c>
      <c r="BF24" s="66">
        <v>0.111</v>
      </c>
      <c r="BG24" s="81">
        <f t="shared" si="2"/>
        <v>2.2674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0.0</v>
      </c>
      <c r="G25" s="66">
        <v>2.0</v>
      </c>
      <c r="AI25" s="81" t="str">
        <f t="shared" si="1"/>
        <v>#DIV/0!</v>
      </c>
      <c r="BG25" s="81" t="str">
        <f t="shared" si="2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AI26" s="81" t="str">
        <f t="shared" si="1"/>
        <v>#DIV/0!</v>
      </c>
      <c r="BG26" s="81" t="str">
        <f t="shared" si="2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0.0</v>
      </c>
      <c r="G27" s="66">
        <v>2.0</v>
      </c>
      <c r="AI27" s="81" t="str">
        <f t="shared" si="1"/>
        <v>#DIV/0!</v>
      </c>
      <c r="AJ27" s="66">
        <v>1.6</v>
      </c>
      <c r="AK27" s="66">
        <v>0.077</v>
      </c>
      <c r="AL27" s="66">
        <v>0.031</v>
      </c>
      <c r="AM27" s="81">
        <f>average(3.076,2.66)</f>
        <v>2.868</v>
      </c>
      <c r="AN27" s="66">
        <v>0.1065</v>
      </c>
      <c r="AO27" s="66">
        <v>0.039</v>
      </c>
      <c r="AP27" s="66">
        <v>3.32</v>
      </c>
      <c r="AQ27" s="66">
        <v>0.0821</v>
      </c>
      <c r="AR27" s="66">
        <v>0.033</v>
      </c>
      <c r="AS27" s="66">
        <v>2.29</v>
      </c>
      <c r="AT27" s="66">
        <v>0.0653</v>
      </c>
      <c r="AU27" s="66">
        <v>0.026</v>
      </c>
      <c r="BE27" s="81">
        <f>0.1176+0.0549</f>
        <v>0.1725</v>
      </c>
      <c r="BF27" s="66">
        <v>0.07</v>
      </c>
      <c r="BG27" s="81">
        <f t="shared" si="2"/>
        <v>2.5195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AI28" s="81" t="str">
        <f t="shared" si="1"/>
        <v>#DIV/0!</v>
      </c>
      <c r="BG28" s="81" t="str">
        <f t="shared" si="2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AI29" s="81" t="str">
        <f t="shared" si="1"/>
        <v>#DIV/0!</v>
      </c>
      <c r="BG29" s="81" t="str">
        <f t="shared" si="2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1.0</v>
      </c>
      <c r="G30" s="66">
        <v>3.0</v>
      </c>
      <c r="I30" s="66">
        <v>1.514</v>
      </c>
      <c r="J30" s="66">
        <v>0.0398</v>
      </c>
      <c r="K30" s="66">
        <v>0.016</v>
      </c>
      <c r="L30" s="66">
        <v>0.891</v>
      </c>
      <c r="M30" s="66">
        <v>0.0202</v>
      </c>
      <c r="N30" s="66">
        <v>0.009</v>
      </c>
      <c r="O30" s="66">
        <v>1.53</v>
      </c>
      <c r="P30" s="66">
        <v>0.0246</v>
      </c>
      <c r="Q30" s="66">
        <v>0.011</v>
      </c>
      <c r="AG30" s="66">
        <v>0.1071</v>
      </c>
      <c r="AH30" s="66">
        <v>0.044</v>
      </c>
      <c r="AI30" s="81">
        <f t="shared" si="1"/>
        <v>1.311666667</v>
      </c>
      <c r="AJ30" s="66">
        <v>2.41</v>
      </c>
      <c r="AK30" s="66">
        <v>0.0653</v>
      </c>
      <c r="AL30" s="66">
        <v>0.038</v>
      </c>
      <c r="AM30" s="66">
        <v>3.31</v>
      </c>
      <c r="AN30" s="66">
        <v>0.1908</v>
      </c>
      <c r="AO30" s="66">
        <v>0.087</v>
      </c>
      <c r="AP30" s="66">
        <v>2.75</v>
      </c>
      <c r="AQ30" s="66">
        <v>0.0625</v>
      </c>
      <c r="AR30" s="66">
        <v>0.027</v>
      </c>
      <c r="AS30" s="66">
        <v>2.03</v>
      </c>
      <c r="AT30" s="66">
        <v>0.0972</v>
      </c>
      <c r="AU30" s="66">
        <v>0.04</v>
      </c>
      <c r="AV30" s="66">
        <v>1.76</v>
      </c>
      <c r="AW30" s="66">
        <v>0.1054</v>
      </c>
      <c r="AX30" s="66">
        <v>0.044</v>
      </c>
      <c r="BE30" s="66">
        <v>0.2188</v>
      </c>
      <c r="BF30" s="66">
        <v>0.088</v>
      </c>
      <c r="BG30" s="81">
        <f t="shared" si="2"/>
        <v>2.452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I31" s="81" t="str">
        <f t="shared" si="1"/>
        <v>#DIV/0!</v>
      </c>
      <c r="BG31" s="81" t="str">
        <f t="shared" si="2"/>
        <v>#DIV/0!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I32" s="81" t="str">
        <f t="shared" si="1"/>
        <v>#DIV/0!</v>
      </c>
      <c r="BG32" s="81" t="str">
        <f t="shared" si="2"/>
        <v>#DIV/0!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F33" s="66">
        <v>0.0</v>
      </c>
      <c r="G33" s="66">
        <v>7.0</v>
      </c>
      <c r="AI33" s="81" t="str">
        <f t="shared" si="1"/>
        <v>#DIV/0!</v>
      </c>
      <c r="BG33" s="81" t="str">
        <f t="shared" si="2"/>
        <v>#DIV/0!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F34" s="66">
        <v>0.0</v>
      </c>
      <c r="G34" s="66">
        <v>7.0</v>
      </c>
      <c r="AI34" s="81" t="str">
        <f t="shared" si="1"/>
        <v>#DIV/0!</v>
      </c>
      <c r="BG34" s="81" t="str">
        <f t="shared" si="2"/>
        <v>#DIV/0!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I35" s="81" t="str">
        <f t="shared" si="1"/>
        <v>#DIV/0!</v>
      </c>
      <c r="BG35" s="81" t="str">
        <f t="shared" si="2"/>
        <v>#DIV/0!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AI36" s="81" t="str">
        <f t="shared" si="1"/>
        <v>#DIV/0!</v>
      </c>
      <c r="BG36" s="81" t="str">
        <f t="shared" si="2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AI37" s="81" t="str">
        <f t="shared" si="1"/>
        <v>#DIV/0!</v>
      </c>
      <c r="BG37" s="81" t="str">
        <f t="shared" si="2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AI38" s="81" t="str">
        <f t="shared" si="1"/>
        <v>#DIV/0!</v>
      </c>
      <c r="BG38" s="81" t="str">
        <f t="shared" si="2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AI39" s="81" t="str">
        <f t="shared" si="1"/>
        <v>#DIV/0!</v>
      </c>
      <c r="BG39" s="81" t="str">
        <f t="shared" si="2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AI40" s="81" t="str">
        <f t="shared" si="1"/>
        <v>#DIV/0!</v>
      </c>
      <c r="BG40" s="81" t="str">
        <f t="shared" si="2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H41" s="66" t="s">
        <v>355</v>
      </c>
      <c r="AI41" s="81" t="str">
        <f t="shared" si="1"/>
        <v>#DIV/0!</v>
      </c>
      <c r="BG41" s="81" t="str">
        <f t="shared" si="2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0.0</v>
      </c>
      <c r="G42" s="66">
        <v>3.0</v>
      </c>
      <c r="AI42" s="81" t="str">
        <f t="shared" si="1"/>
        <v>#DIV/0!</v>
      </c>
      <c r="BG42" s="81" t="str">
        <f t="shared" si="2"/>
        <v>#DIV/0!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AI43" s="81" t="str">
        <f t="shared" si="1"/>
        <v>#DIV/0!</v>
      </c>
      <c r="BG43" s="81" t="str">
        <f t="shared" si="2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AI44" s="81" t="str">
        <f t="shared" si="1"/>
        <v>#DIV/0!</v>
      </c>
      <c r="BG44" s="81" t="str">
        <f t="shared" si="2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AI45" s="81" t="str">
        <f t="shared" si="1"/>
        <v>#DIV/0!</v>
      </c>
      <c r="BG45" s="81" t="str">
        <f t="shared" si="2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AI46" s="81" t="str">
        <f t="shared" si="1"/>
        <v>#DIV/0!</v>
      </c>
      <c r="BG46" s="81" t="str">
        <f t="shared" si="2"/>
        <v>#DIV/0!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0.89</v>
      </c>
      <c r="J47" s="66">
        <v>0.1108</v>
      </c>
      <c r="K47" s="66">
        <v>0.065</v>
      </c>
      <c r="L47" s="66">
        <v>0.925</v>
      </c>
      <c r="M47" s="66">
        <v>0.1156</v>
      </c>
      <c r="N47" s="66">
        <v>0.069</v>
      </c>
      <c r="O47" s="66">
        <v>1.22</v>
      </c>
      <c r="P47" s="66">
        <v>0.0367</v>
      </c>
      <c r="Q47" s="66">
        <v>0.016</v>
      </c>
      <c r="R47" s="66">
        <v>3.9</v>
      </c>
      <c r="S47" s="66" t="s">
        <v>58</v>
      </c>
      <c r="T47" s="66" t="s">
        <v>58</v>
      </c>
      <c r="AG47" s="66">
        <v>0.2731</v>
      </c>
      <c r="AH47" s="66">
        <v>0.156</v>
      </c>
      <c r="AI47" s="81">
        <f t="shared" si="1"/>
        <v>1.73375</v>
      </c>
      <c r="AJ47" s="66">
        <v>1.819</v>
      </c>
      <c r="AK47" s="66">
        <v>0.0828</v>
      </c>
      <c r="AL47" s="66">
        <v>0.049</v>
      </c>
      <c r="AM47" s="66">
        <v>3.09</v>
      </c>
      <c r="AN47" s="66">
        <v>0.0744</v>
      </c>
      <c r="AO47" s="66">
        <v>0.044</v>
      </c>
      <c r="AP47" s="66">
        <v>2.305</v>
      </c>
      <c r="AQ47" s="66">
        <v>0.0783</v>
      </c>
      <c r="AR47" s="66">
        <v>0.045</v>
      </c>
      <c r="AS47" s="66">
        <v>3.603</v>
      </c>
      <c r="AT47" s="66">
        <v>0.1185</v>
      </c>
      <c r="AU47" s="66">
        <v>0.053</v>
      </c>
      <c r="AX47" s="66">
        <v>0.071</v>
      </c>
      <c r="BE47" s="66">
        <v>0.1539</v>
      </c>
      <c r="BF47" s="66">
        <v>0.091</v>
      </c>
      <c r="BG47" s="81">
        <f t="shared" si="2"/>
        <v>2.70425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2.0</v>
      </c>
      <c r="G48" s="66">
        <v>1.0</v>
      </c>
      <c r="AI48" s="81" t="str">
        <f t="shared" si="1"/>
        <v>#DIV/0!</v>
      </c>
      <c r="AJ48" s="66">
        <v>1.24</v>
      </c>
      <c r="AK48" s="66">
        <v>0.0219</v>
      </c>
      <c r="AL48" s="66">
        <v>0.009</v>
      </c>
      <c r="AM48" s="66">
        <v>3.31</v>
      </c>
      <c r="AN48" s="66">
        <v>0.1466</v>
      </c>
      <c r="AO48" s="66">
        <v>0.01</v>
      </c>
      <c r="AP48" s="66">
        <v>1.68</v>
      </c>
      <c r="AQ48" s="66">
        <v>0.0149</v>
      </c>
      <c r="AR48" s="66">
        <v>0.006</v>
      </c>
      <c r="AS48" s="66">
        <v>1.66</v>
      </c>
      <c r="AT48" s="66">
        <v>0.0175</v>
      </c>
      <c r="AU48" s="66">
        <v>0.007</v>
      </c>
      <c r="BE48" s="66">
        <v>0.4809</v>
      </c>
      <c r="BF48" s="66">
        <v>0.176</v>
      </c>
      <c r="BG48" s="81">
        <f t="shared" si="2"/>
        <v>1.9725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I49" s="66">
        <v>1.39</v>
      </c>
      <c r="J49" s="66" t="s">
        <v>58</v>
      </c>
      <c r="L49" s="66">
        <v>1.57</v>
      </c>
      <c r="M49" s="66" t="s">
        <v>58</v>
      </c>
      <c r="O49" s="66">
        <v>1.47</v>
      </c>
      <c r="P49" s="66" t="s">
        <v>58</v>
      </c>
      <c r="AI49" s="81">
        <f t="shared" si="1"/>
        <v>1.476666667</v>
      </c>
      <c r="BG49" s="81" t="str">
        <f t="shared" si="2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1.0</v>
      </c>
      <c r="G50" s="66">
        <v>2.0</v>
      </c>
      <c r="I50" s="66">
        <v>1.29</v>
      </c>
      <c r="J50" s="66">
        <v>0.0542</v>
      </c>
      <c r="K50" s="66">
        <v>0.033</v>
      </c>
      <c r="L50" s="66">
        <v>1.91</v>
      </c>
      <c r="M50" s="66">
        <v>0.051</v>
      </c>
      <c r="N50" s="66">
        <v>0.033</v>
      </c>
      <c r="O50" s="66">
        <v>1.43</v>
      </c>
      <c r="P50" s="66" t="s">
        <v>58</v>
      </c>
      <c r="AI50" s="81">
        <f t="shared" si="1"/>
        <v>1.543333333</v>
      </c>
      <c r="AJ50" s="66">
        <v>3.29</v>
      </c>
      <c r="AK50" s="66">
        <v>0.0856</v>
      </c>
      <c r="AL50" s="66">
        <v>0.052</v>
      </c>
      <c r="AM50" s="66">
        <v>3.42</v>
      </c>
      <c r="AN50" s="66">
        <v>0.1156</v>
      </c>
      <c r="AO50" s="66">
        <v>0.07</v>
      </c>
      <c r="BE50" s="66">
        <v>0.3058</v>
      </c>
      <c r="BF50" s="66">
        <v>0.186</v>
      </c>
      <c r="BG50" s="81">
        <f t="shared" si="2"/>
        <v>3.355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AI51" s="81" t="str">
        <f t="shared" si="1"/>
        <v>#DIV/0!</v>
      </c>
      <c r="BG51" s="81" t="str">
        <f t="shared" si="2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AI52" s="81" t="str">
        <f t="shared" si="1"/>
        <v>#DIV/0!</v>
      </c>
      <c r="BG52" s="81" t="str">
        <f t="shared" si="2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AI53" s="81" t="str">
        <f t="shared" si="1"/>
        <v>#DIV/0!</v>
      </c>
      <c r="BG53" s="81" t="str">
        <f t="shared" si="2"/>
        <v>#DIV/0!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AI54" s="81" t="str">
        <f t="shared" si="1"/>
        <v>#DIV/0!</v>
      </c>
      <c r="BG54" s="81" t="str">
        <f t="shared" si="2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AI55" s="81" t="str">
        <f t="shared" si="1"/>
        <v>#DIV/0!</v>
      </c>
      <c r="BG55" s="81" t="str">
        <f t="shared" si="2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AI56" s="81" t="str">
        <f t="shared" si="1"/>
        <v>#DIV/0!</v>
      </c>
      <c r="BG56" s="81" t="str">
        <f t="shared" si="2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AI57" s="81" t="str">
        <f t="shared" si="1"/>
        <v>#DIV/0!</v>
      </c>
      <c r="BG57" s="81" t="str">
        <f t="shared" si="2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AI58" s="81" t="str">
        <f t="shared" si="1"/>
        <v>#DIV/0!</v>
      </c>
      <c r="BG58" s="81" t="str">
        <f t="shared" si="2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AI59" s="81" t="str">
        <f t="shared" si="1"/>
        <v>#DIV/0!</v>
      </c>
      <c r="BG59" s="81" t="str">
        <f t="shared" si="2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AI60" s="81" t="str">
        <f t="shared" si="1"/>
        <v>#DIV/0!</v>
      </c>
      <c r="BG60" s="81" t="str">
        <f t="shared" si="2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AI61" s="81" t="str">
        <f t="shared" si="1"/>
        <v>#DIV/0!</v>
      </c>
      <c r="BG61" s="81" t="str">
        <f t="shared" si="2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AI62" s="81" t="str">
        <f t="shared" si="1"/>
        <v>#DIV/0!</v>
      </c>
      <c r="BG62" s="81" t="str">
        <f t="shared" si="2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AI63" s="81" t="str">
        <f t="shared" si="1"/>
        <v>#DIV/0!</v>
      </c>
      <c r="BG63" s="81" t="str">
        <f t="shared" si="2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AI64" s="81" t="str">
        <f t="shared" si="1"/>
        <v>#DIV/0!</v>
      </c>
      <c r="BG64" s="81" t="str">
        <f t="shared" si="2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AI65" s="81" t="str">
        <f t="shared" si="1"/>
        <v>#DIV/0!</v>
      </c>
      <c r="BG65" s="81" t="str">
        <f t="shared" si="2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AI66" s="81" t="str">
        <f t="shared" si="1"/>
        <v>#DIV/0!</v>
      </c>
      <c r="BG66" s="81" t="str">
        <f t="shared" si="2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AI67" s="81" t="str">
        <f t="shared" si="1"/>
        <v>#DIV/0!</v>
      </c>
      <c r="BG67" s="81" t="str">
        <f t="shared" si="2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AI68" s="81" t="str">
        <f t="shared" si="1"/>
        <v>#DIV/0!</v>
      </c>
      <c r="BG68" s="81" t="str">
        <f t="shared" si="2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AI69" s="81" t="str">
        <f t="shared" si="1"/>
        <v>#DIV/0!</v>
      </c>
      <c r="BG69" s="81" t="str">
        <f t="shared" si="2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AI70" s="81" t="str">
        <f t="shared" si="1"/>
        <v>#DIV/0!</v>
      </c>
      <c r="BG70" s="81" t="str">
        <f t="shared" si="2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AI71" s="81" t="str">
        <f t="shared" si="1"/>
        <v>#DIV/0!</v>
      </c>
      <c r="BG71" s="81" t="str">
        <f t="shared" si="2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AI72" s="81" t="str">
        <f t="shared" si="1"/>
        <v>#DIV/0!</v>
      </c>
      <c r="BG72" s="81" t="str">
        <f t="shared" si="2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AI73" s="81" t="str">
        <f t="shared" si="1"/>
        <v>#DIV/0!</v>
      </c>
      <c r="BG73" s="81" t="str">
        <f t="shared" si="2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AI74" s="81" t="str">
        <f t="shared" si="1"/>
        <v>#DIV/0!</v>
      </c>
      <c r="BG74" s="81" t="str">
        <f t="shared" si="2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I75" s="81" t="str">
        <f t="shared" si="1"/>
        <v>#DIV/0!</v>
      </c>
      <c r="BG75" s="81" t="str">
        <f t="shared" si="2"/>
        <v>#DIV/0!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AI76" s="81" t="str">
        <f t="shared" si="1"/>
        <v>#DIV/0!</v>
      </c>
      <c r="BG76" s="81" t="str">
        <f t="shared" si="2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AI77" s="81" t="str">
        <f t="shared" si="1"/>
        <v>#DIV/0!</v>
      </c>
      <c r="BG77" s="81" t="str">
        <f t="shared" si="2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AI78" s="81" t="str">
        <f t="shared" si="1"/>
        <v>#DIV/0!</v>
      </c>
      <c r="BG78" s="81" t="str">
        <f t="shared" si="2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AI79" s="81" t="str">
        <f t="shared" si="1"/>
        <v>#DIV/0!</v>
      </c>
      <c r="BG79" s="81" t="str">
        <f t="shared" si="2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AI80" s="81" t="str">
        <f t="shared" si="1"/>
        <v>#DIV/0!</v>
      </c>
      <c r="BG80" s="81" t="str">
        <f t="shared" si="2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AI81" s="81" t="str">
        <f t="shared" si="1"/>
        <v>#DIV/0!</v>
      </c>
      <c r="BG81" s="81" t="str">
        <f t="shared" si="2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I82" s="81" t="str">
        <f t="shared" si="1"/>
        <v>#DIV/0!</v>
      </c>
      <c r="BG82" s="81" t="str">
        <f t="shared" si="2"/>
        <v>#DIV/0!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AI83" s="81" t="str">
        <f t="shared" si="1"/>
        <v>#DIV/0!</v>
      </c>
      <c r="BG83" s="81" t="str">
        <f t="shared" si="2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AI84" s="81" t="str">
        <f t="shared" si="1"/>
        <v>#DIV/0!</v>
      </c>
      <c r="BG84" s="81" t="str">
        <f t="shared" si="2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AI85" s="81" t="str">
        <f t="shared" si="1"/>
        <v>#DIV/0!</v>
      </c>
      <c r="BG85" s="81" t="str">
        <f t="shared" si="2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AI86" s="81" t="str">
        <f t="shared" si="1"/>
        <v>#DIV/0!</v>
      </c>
      <c r="BG86" s="81" t="str">
        <f t="shared" si="2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AI87" s="81" t="str">
        <f t="shared" si="1"/>
        <v>#DIV/0!</v>
      </c>
      <c r="BG87" s="81" t="str">
        <f t="shared" si="2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AI88" s="81" t="str">
        <f t="shared" si="1"/>
        <v>#DIV/0!</v>
      </c>
      <c r="BG88" s="81" t="str">
        <f t="shared" si="2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AI89" s="81" t="str">
        <f t="shared" si="1"/>
        <v>#DIV/0!</v>
      </c>
      <c r="BG89" s="81" t="str">
        <f t="shared" si="2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AI90" s="81" t="str">
        <f t="shared" si="1"/>
        <v>#DIV/0!</v>
      </c>
      <c r="BG90" s="81" t="str">
        <f t="shared" si="2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I91" s="81" t="str">
        <f t="shared" si="1"/>
        <v>#DIV/0!</v>
      </c>
      <c r="BG91" s="81" t="str">
        <f t="shared" si="2"/>
        <v>#DIV/0!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66">
        <v>0.0</v>
      </c>
      <c r="G92" s="66">
        <v>1.0</v>
      </c>
      <c r="AI92" s="81" t="str">
        <f t="shared" si="1"/>
        <v>#DIV/0!</v>
      </c>
      <c r="BG92" s="81" t="str">
        <f t="shared" si="2"/>
        <v>#DIV/0!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66">
        <v>0.0</v>
      </c>
      <c r="G93" s="66">
        <v>2.0</v>
      </c>
      <c r="AI93" s="81" t="str">
        <f t="shared" si="1"/>
        <v>#DIV/0!</v>
      </c>
      <c r="BG93" s="81" t="str">
        <f t="shared" si="2"/>
        <v>#DIV/0!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66">
        <v>0.0</v>
      </c>
      <c r="G94" s="66">
        <v>2.0</v>
      </c>
      <c r="AI94" s="81" t="str">
        <f t="shared" si="1"/>
        <v>#DIV/0!</v>
      </c>
      <c r="BG94" s="81" t="str">
        <f t="shared" si="2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AI95" s="81" t="str">
        <f t="shared" si="1"/>
        <v>#DIV/0!</v>
      </c>
      <c r="BG95" s="81" t="str">
        <f t="shared" si="2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AI96" s="81" t="str">
        <f t="shared" si="1"/>
        <v>#DIV/0!</v>
      </c>
      <c r="BG96" s="81" t="str">
        <f t="shared" si="2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AI97" s="81" t="str">
        <f t="shared" si="1"/>
        <v>#DIV/0!</v>
      </c>
      <c r="BG97" s="81" t="str">
        <f t="shared" si="2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AI98" s="81" t="str">
        <f t="shared" si="1"/>
        <v>#DIV/0!</v>
      </c>
      <c r="BG98" s="81" t="str">
        <f t="shared" si="2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AI99" s="81" t="str">
        <f t="shared" si="1"/>
        <v>#DIV/0!</v>
      </c>
      <c r="BG99" s="81" t="str">
        <f t="shared" si="2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AI100" s="81" t="str">
        <f t="shared" si="1"/>
        <v>#DIV/0!</v>
      </c>
      <c r="BG100" s="81" t="str">
        <f t="shared" si="2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AI101" s="81" t="str">
        <f t="shared" si="1"/>
        <v>#DIV/0!</v>
      </c>
      <c r="BG101" s="81" t="str">
        <f t="shared" si="2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AI102" s="81" t="str">
        <f t="shared" si="1"/>
        <v>#DIV/0!</v>
      </c>
      <c r="BG102" s="81" t="str">
        <f t="shared" si="2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AI103" s="81" t="str">
        <f t="shared" si="1"/>
        <v>#DIV/0!</v>
      </c>
      <c r="BG103" s="81" t="str">
        <f t="shared" si="2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AI104" s="81" t="str">
        <f t="shared" si="1"/>
        <v>#DIV/0!</v>
      </c>
      <c r="BG104" s="81" t="str">
        <f t="shared" si="2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AI105" s="81" t="str">
        <f t="shared" si="1"/>
        <v>#DIV/0!</v>
      </c>
      <c r="BG105" s="81" t="str">
        <f t="shared" si="2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AI106" s="81" t="str">
        <f t="shared" si="1"/>
        <v>#DIV/0!</v>
      </c>
      <c r="BG106" s="81" t="str">
        <f t="shared" si="2"/>
        <v>#DIV/0!</v>
      </c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F107" s="66">
        <v>0.0</v>
      </c>
      <c r="G107" s="66">
        <v>8.0</v>
      </c>
      <c r="I107" s="66">
        <v>0.841</v>
      </c>
      <c r="J107" s="66">
        <v>0.142</v>
      </c>
      <c r="K107" s="66">
        <v>0.058</v>
      </c>
      <c r="L107" s="66">
        <v>1.32</v>
      </c>
      <c r="M107" s="66">
        <v>0.1173</v>
      </c>
      <c r="N107" s="66">
        <v>0.044</v>
      </c>
      <c r="O107" s="66">
        <v>1.35</v>
      </c>
      <c r="P107" s="66">
        <v>0.1452</v>
      </c>
      <c r="Q107" s="66">
        <v>0.057</v>
      </c>
      <c r="R107" s="66">
        <v>1.226</v>
      </c>
      <c r="S107" s="66">
        <v>0.237</v>
      </c>
      <c r="T107" s="66">
        <v>0.105</v>
      </c>
      <c r="U107" s="66">
        <v>1.39</v>
      </c>
      <c r="V107" s="66">
        <v>0.1232</v>
      </c>
      <c r="W107" s="66">
        <v>0.048</v>
      </c>
      <c r="AG107" s="66">
        <v>0.1502</v>
      </c>
      <c r="AH107" s="66">
        <v>0.06</v>
      </c>
      <c r="AI107" s="81">
        <f t="shared" si="1"/>
        <v>1.2254</v>
      </c>
      <c r="AJ107" s="66">
        <v>0.43</v>
      </c>
      <c r="AK107" s="66">
        <v>0.1304</v>
      </c>
      <c r="AL107" s="66">
        <v>0.057</v>
      </c>
      <c r="AM107" s="66">
        <v>1.93</v>
      </c>
      <c r="AN107" s="66">
        <v>0.0978</v>
      </c>
      <c r="AO107" s="66">
        <v>0.04</v>
      </c>
      <c r="AP107" s="66">
        <v>1.96</v>
      </c>
      <c r="AQ107" s="66">
        <v>0.1348</v>
      </c>
      <c r="AR107" s="66">
        <v>0.062</v>
      </c>
      <c r="AS107" s="81">
        <f>average(1.74,2.25)</f>
        <v>1.995</v>
      </c>
      <c r="AT107" s="66">
        <v>0.1554</v>
      </c>
      <c r="AU107" s="66">
        <v>0.067</v>
      </c>
      <c r="AX107" s="66">
        <v>0.042</v>
      </c>
      <c r="BE107" s="66">
        <v>0.225</v>
      </c>
      <c r="BF107" s="66">
        <v>0.109</v>
      </c>
      <c r="BG107" s="81">
        <f t="shared" si="2"/>
        <v>1.57875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  <c r="AI108" s="81" t="str">
        <f t="shared" si="1"/>
        <v>#DIV/0!</v>
      </c>
      <c r="BG108" s="81" t="str">
        <f t="shared" si="2"/>
        <v>#DIV/0!</v>
      </c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  <c r="AI109" s="81" t="str">
        <f t="shared" si="1"/>
        <v>#DIV/0!</v>
      </c>
      <c r="BG109" s="81" t="str">
        <f t="shared" si="2"/>
        <v>#DIV/0!</v>
      </c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F110" s="66">
        <v>0.0</v>
      </c>
      <c r="G110" s="66">
        <v>8.0</v>
      </c>
      <c r="I110" s="66">
        <v>0.81</v>
      </c>
      <c r="J110" s="66">
        <v>0.1738</v>
      </c>
      <c r="K110" s="66">
        <v>0.082</v>
      </c>
      <c r="L110" s="66">
        <v>0.778</v>
      </c>
      <c r="M110" s="66">
        <v>0.2153</v>
      </c>
      <c r="N110" s="66">
        <v>0.1</v>
      </c>
      <c r="AG110" s="66">
        <v>0.6252</v>
      </c>
      <c r="AH110" s="66">
        <v>0.287</v>
      </c>
      <c r="AI110" s="81">
        <f t="shared" si="1"/>
        <v>0.794</v>
      </c>
      <c r="AJ110" s="66">
        <v>2.7</v>
      </c>
      <c r="AK110" s="66">
        <v>0.1876</v>
      </c>
      <c r="AL110" s="66">
        <v>0.095</v>
      </c>
      <c r="AM110" s="66">
        <v>2.69</v>
      </c>
      <c r="AN110" s="66">
        <v>0.1933</v>
      </c>
      <c r="AO110" s="66">
        <v>0.101</v>
      </c>
      <c r="BE110" s="66">
        <v>0.7026</v>
      </c>
      <c r="BF110" s="66">
        <v>0.355</v>
      </c>
      <c r="BG110" s="81">
        <f t="shared" si="2"/>
        <v>2.695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AI111" s="81" t="str">
        <f t="shared" si="1"/>
        <v>#DIV/0!</v>
      </c>
      <c r="BG111" s="81" t="str">
        <f t="shared" si="2"/>
        <v>#DIV/0!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F112" s="66">
        <v>0.0</v>
      </c>
      <c r="G112" s="66">
        <v>7.0</v>
      </c>
      <c r="AI112" s="81" t="str">
        <f t="shared" si="1"/>
        <v>#DIV/0!</v>
      </c>
      <c r="AJ112" s="66">
        <v>2.49</v>
      </c>
      <c r="AK112" s="66">
        <v>0.0883</v>
      </c>
      <c r="AL112" s="66">
        <v>0.043</v>
      </c>
      <c r="AM112" s="66">
        <v>2.39</v>
      </c>
      <c r="AN112" s="66">
        <v>0.1475</v>
      </c>
      <c r="AO112" s="66">
        <v>0.071</v>
      </c>
      <c r="AP112" s="66">
        <v>1.945</v>
      </c>
      <c r="AQ112" s="66">
        <v>0.0884</v>
      </c>
      <c r="AR112" s="66">
        <v>0.04</v>
      </c>
      <c r="AS112" s="66">
        <v>2.032</v>
      </c>
      <c r="AT112" s="66">
        <v>0.0937</v>
      </c>
      <c r="AU112" s="66">
        <v>0.046</v>
      </c>
      <c r="AV112" s="66">
        <v>2.504</v>
      </c>
      <c r="AW112" s="66">
        <v>0.0861</v>
      </c>
      <c r="AX112" s="66">
        <v>0.042</v>
      </c>
      <c r="BE112" s="66">
        <v>0.0819</v>
      </c>
      <c r="BF112" s="66">
        <v>0.039</v>
      </c>
      <c r="BG112" s="81">
        <f t="shared" si="2"/>
        <v>2.2722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F113" s="66">
        <v>0.0</v>
      </c>
      <c r="G113" s="66">
        <v>8.0</v>
      </c>
      <c r="AI113" s="81" t="str">
        <f t="shared" si="1"/>
        <v>#DIV/0!</v>
      </c>
      <c r="BG113" s="81" t="str">
        <f t="shared" si="2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F114" s="66">
        <v>0.0</v>
      </c>
      <c r="G114" s="66">
        <v>9.0</v>
      </c>
      <c r="AI114" s="81" t="str">
        <f t="shared" si="1"/>
        <v>#DIV/0!</v>
      </c>
      <c r="BG114" s="81" t="str">
        <f t="shared" si="2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F115" s="66">
        <v>0.0</v>
      </c>
      <c r="G115" s="66">
        <v>8.0</v>
      </c>
      <c r="AI115" s="81" t="str">
        <f t="shared" si="1"/>
        <v>#DIV/0!</v>
      </c>
      <c r="BG115" s="81" t="str">
        <f t="shared" si="2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F116" s="66">
        <v>0.0</v>
      </c>
      <c r="G116" s="66">
        <v>7.0</v>
      </c>
      <c r="AI116" s="81" t="str">
        <f t="shared" si="1"/>
        <v>#DIV/0!</v>
      </c>
      <c r="BG116" s="81" t="str">
        <f t="shared" si="2"/>
        <v>#DIV/0!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  <c r="AI117" s="81" t="str">
        <f t="shared" si="1"/>
        <v>#DIV/0!</v>
      </c>
      <c r="BG117" s="81" t="str">
        <f t="shared" si="2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  <c r="I118" s="66">
        <v>2.1</v>
      </c>
      <c r="J118" s="66">
        <v>0.4308</v>
      </c>
      <c r="K118" s="66">
        <v>0.171</v>
      </c>
      <c r="L118" s="66">
        <v>1.76</v>
      </c>
      <c r="M118" s="66">
        <v>0.6652</v>
      </c>
      <c r="N118" s="66">
        <v>0.218</v>
      </c>
      <c r="O118" s="66">
        <v>1.98</v>
      </c>
      <c r="P118" s="66">
        <v>0.4807</v>
      </c>
      <c r="Q118" s="66">
        <v>0.222</v>
      </c>
      <c r="R118" s="66">
        <v>2.04</v>
      </c>
      <c r="S118" s="66">
        <v>0.3734</v>
      </c>
      <c r="T118" s="66">
        <v>0.148</v>
      </c>
      <c r="U118" s="66">
        <v>1.8</v>
      </c>
      <c r="V118" s="66">
        <v>0.3326</v>
      </c>
      <c r="W118" s="66">
        <v>0.119</v>
      </c>
      <c r="AG118" s="66">
        <v>1.724</v>
      </c>
      <c r="AH118" s="66">
        <v>0.709</v>
      </c>
      <c r="AI118" s="81">
        <f t="shared" si="1"/>
        <v>1.936</v>
      </c>
      <c r="BG118" s="81" t="str">
        <f t="shared" si="2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  <c r="AI119" s="81" t="str">
        <f t="shared" si="1"/>
        <v>#DIV/0!</v>
      </c>
      <c r="BG119" s="81" t="str">
        <f t="shared" si="2"/>
        <v>#DIV/0!</v>
      </c>
    </row>
    <row r="120">
      <c r="A120" s="66" t="s">
        <v>98</v>
      </c>
      <c r="B120" s="106" t="s">
        <v>105</v>
      </c>
      <c r="C120" s="66" t="s">
        <v>304</v>
      </c>
      <c r="D120" s="114" t="s">
        <v>56</v>
      </c>
      <c r="E120" s="66">
        <v>2093.0</v>
      </c>
      <c r="I120" s="66">
        <v>0.35</v>
      </c>
      <c r="J120" s="66">
        <v>0.2452</v>
      </c>
      <c r="K120" s="66">
        <v>0.158</v>
      </c>
      <c r="L120" s="66">
        <v>0.51</v>
      </c>
      <c r="M120" s="66">
        <v>0.3532</v>
      </c>
      <c r="N120" s="66">
        <v>0.229</v>
      </c>
      <c r="O120" s="66">
        <v>0.25</v>
      </c>
      <c r="P120" s="66">
        <v>0.2809</v>
      </c>
      <c r="Q120" s="66">
        <v>0.178</v>
      </c>
      <c r="R120" s="66">
        <v>0.18</v>
      </c>
      <c r="S120" s="66">
        <v>0.363</v>
      </c>
      <c r="T120" s="66">
        <v>0.228</v>
      </c>
      <c r="AG120" s="66">
        <v>0.7345</v>
      </c>
      <c r="AH120" s="66">
        <v>0.472</v>
      </c>
      <c r="AI120" s="81">
        <f t="shared" si="1"/>
        <v>0.3225</v>
      </c>
      <c r="BG120" s="81" t="str">
        <f t="shared" si="2"/>
        <v>#DIV/0!</v>
      </c>
    </row>
    <row r="121">
      <c r="A121" s="66" t="s">
        <v>98</v>
      </c>
      <c r="B121" s="106" t="s">
        <v>105</v>
      </c>
      <c r="C121" s="66" t="s">
        <v>304</v>
      </c>
      <c r="D121" s="114" t="s">
        <v>56</v>
      </c>
      <c r="E121" s="66">
        <v>2092.0</v>
      </c>
      <c r="I121" s="66">
        <v>0.286</v>
      </c>
      <c r="J121" s="66">
        <v>0.2323</v>
      </c>
      <c r="K121" s="66">
        <v>0.143</v>
      </c>
      <c r="L121" s="66">
        <v>0.2</v>
      </c>
      <c r="M121" s="66">
        <v>0.2821</v>
      </c>
      <c r="N121" s="66">
        <v>0.165</v>
      </c>
      <c r="O121" s="66">
        <v>0.264</v>
      </c>
      <c r="P121" s="66">
        <v>0.235</v>
      </c>
      <c r="Q121" s="66">
        <v>0.143</v>
      </c>
      <c r="AG121" s="66">
        <v>1.3508</v>
      </c>
      <c r="AH121" s="66">
        <v>0.824</v>
      </c>
      <c r="AI121" s="81">
        <f t="shared" si="1"/>
        <v>0.25</v>
      </c>
      <c r="BG121" s="81" t="str">
        <f t="shared" si="2"/>
        <v>#DIV/0!</v>
      </c>
    </row>
    <row r="122">
      <c r="A122" s="66" t="s">
        <v>98</v>
      </c>
      <c r="B122" s="106" t="s">
        <v>105</v>
      </c>
      <c r="C122" s="66" t="s">
        <v>304</v>
      </c>
      <c r="D122" s="114" t="s">
        <v>56</v>
      </c>
      <c r="E122" s="66">
        <v>2091.0</v>
      </c>
      <c r="I122" s="66">
        <v>0.373</v>
      </c>
      <c r="J122" s="66">
        <v>0.3789</v>
      </c>
      <c r="K122" s="66">
        <v>0.223</v>
      </c>
      <c r="L122" s="66">
        <v>0.296</v>
      </c>
      <c r="M122" s="66">
        <v>0.4072</v>
      </c>
      <c r="N122" s="66">
        <v>0.237</v>
      </c>
      <c r="O122" s="66">
        <v>0.275</v>
      </c>
      <c r="P122" s="66">
        <v>0.3382</v>
      </c>
      <c r="Q122" s="66">
        <v>0.199</v>
      </c>
      <c r="AG122" s="66">
        <v>1.2569</v>
      </c>
      <c r="AH122" s="66">
        <v>0.759</v>
      </c>
      <c r="AI122" s="81">
        <f t="shared" si="1"/>
        <v>0.3146666667</v>
      </c>
      <c r="BG122" s="81" t="str">
        <f t="shared" si="2"/>
        <v>#DIV/0!</v>
      </c>
    </row>
    <row r="123">
      <c r="A123" s="66" t="s">
        <v>98</v>
      </c>
      <c r="B123" s="106" t="s">
        <v>105</v>
      </c>
      <c r="C123" s="66" t="s">
        <v>304</v>
      </c>
      <c r="D123" s="114" t="s">
        <v>61</v>
      </c>
      <c r="E123" s="66">
        <v>2090.0</v>
      </c>
      <c r="F123" s="66">
        <v>0.0</v>
      </c>
      <c r="G123" s="66">
        <v>4.0</v>
      </c>
      <c r="I123" s="66">
        <v>1.74</v>
      </c>
      <c r="J123" s="66" t="s">
        <v>58</v>
      </c>
      <c r="L123" s="66">
        <v>0.579</v>
      </c>
      <c r="M123" s="66" t="s">
        <v>58</v>
      </c>
      <c r="AI123" s="81">
        <f t="shared" si="1"/>
        <v>1.1595</v>
      </c>
      <c r="BG123" s="81" t="str">
        <f t="shared" si="2"/>
        <v>#DIV/0!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2089.0</v>
      </c>
      <c r="I124" s="66">
        <v>0.99</v>
      </c>
      <c r="J124" s="66">
        <v>0.4242</v>
      </c>
      <c r="K124" s="66">
        <v>0.259</v>
      </c>
      <c r="L124" s="66">
        <v>1.5</v>
      </c>
      <c r="M124" s="66">
        <v>0.7123</v>
      </c>
      <c r="N124" s="66">
        <v>0.45</v>
      </c>
      <c r="O124" s="66">
        <v>1.5</v>
      </c>
      <c r="P124" s="66">
        <v>0.3219</v>
      </c>
      <c r="Q124" s="66">
        <v>0.195</v>
      </c>
      <c r="R124" s="66">
        <v>0.6</v>
      </c>
      <c r="S124" s="66">
        <v>0.3605</v>
      </c>
      <c r="T124" s="66">
        <v>0.224</v>
      </c>
      <c r="U124" s="66">
        <v>0.45</v>
      </c>
      <c r="V124" s="66">
        <v>0.263</v>
      </c>
      <c r="W124" s="66">
        <v>0.156</v>
      </c>
      <c r="X124" s="66">
        <v>0.32</v>
      </c>
      <c r="Y124" s="66">
        <v>0.2506</v>
      </c>
      <c r="Z124" s="66">
        <v>0.152</v>
      </c>
      <c r="AA124" s="66">
        <v>1.49</v>
      </c>
      <c r="AB124" s="66">
        <v>0.4046</v>
      </c>
      <c r="AC124" s="66">
        <v>0.25</v>
      </c>
      <c r="AD124" s="66">
        <v>1.19</v>
      </c>
      <c r="AE124" s="66">
        <v>0.19</v>
      </c>
      <c r="AF124" s="66">
        <v>0.117</v>
      </c>
      <c r="AG124" s="66">
        <v>0.214</v>
      </c>
      <c r="AH124" s="66">
        <v>0.131</v>
      </c>
      <c r="AI124" s="81">
        <f t="shared" si="1"/>
        <v>1.005</v>
      </c>
      <c r="BG124" s="81" t="str">
        <f t="shared" si="2"/>
        <v>#DIV/0!</v>
      </c>
    </row>
    <row r="125">
      <c r="A125" s="66" t="s">
        <v>98</v>
      </c>
      <c r="B125" s="106" t="s">
        <v>105</v>
      </c>
      <c r="C125" s="66" t="s">
        <v>304</v>
      </c>
      <c r="D125" s="114" t="s">
        <v>61</v>
      </c>
      <c r="E125" s="66">
        <v>2088.0</v>
      </c>
      <c r="F125" s="66">
        <v>0.0</v>
      </c>
      <c r="G125" s="66">
        <v>4.0</v>
      </c>
      <c r="I125" s="66">
        <v>1.43</v>
      </c>
      <c r="J125" s="66" t="s">
        <v>58</v>
      </c>
      <c r="L125" s="66">
        <v>1.32</v>
      </c>
      <c r="M125" s="66" t="s">
        <v>58</v>
      </c>
      <c r="O125" s="66">
        <v>1.5</v>
      </c>
      <c r="P125" s="66" t="s">
        <v>58</v>
      </c>
      <c r="AI125" s="81">
        <f t="shared" si="1"/>
        <v>1.416666667</v>
      </c>
      <c r="BG125" s="81" t="str">
        <f t="shared" si="2"/>
        <v>#DIV/0!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2087.0</v>
      </c>
      <c r="F126" s="66">
        <v>0.0</v>
      </c>
      <c r="G126" s="66">
        <v>3.0</v>
      </c>
      <c r="I126" s="66">
        <v>1.17</v>
      </c>
      <c r="J126" s="66" t="s">
        <v>58</v>
      </c>
      <c r="L126" s="66">
        <v>1.13</v>
      </c>
      <c r="M126" s="66" t="s">
        <v>58</v>
      </c>
      <c r="AI126" s="81">
        <f t="shared" si="1"/>
        <v>1.15</v>
      </c>
      <c r="BG126" s="81" t="str">
        <f t="shared" si="2"/>
        <v>#DIV/0!</v>
      </c>
    </row>
    <row r="127">
      <c r="A127" s="66" t="s">
        <v>98</v>
      </c>
      <c r="B127" s="106" t="s">
        <v>105</v>
      </c>
      <c r="C127" s="66" t="s">
        <v>304</v>
      </c>
      <c r="D127" s="114" t="s">
        <v>61</v>
      </c>
      <c r="E127" s="66">
        <v>2086.0</v>
      </c>
      <c r="F127" s="66">
        <v>0.0</v>
      </c>
      <c r="G127" s="66">
        <v>2.0</v>
      </c>
      <c r="I127" s="66">
        <v>0.458</v>
      </c>
      <c r="J127" s="66" t="s">
        <v>58</v>
      </c>
      <c r="L127" s="66">
        <v>1.3</v>
      </c>
      <c r="M127" s="66" t="s">
        <v>58</v>
      </c>
      <c r="O127" s="66">
        <v>0.916</v>
      </c>
      <c r="P127" s="66" t="s">
        <v>58</v>
      </c>
      <c r="R127" s="66">
        <v>1.07</v>
      </c>
      <c r="S127" s="66" t="s">
        <v>58</v>
      </c>
      <c r="AI127" s="81">
        <f t="shared" si="1"/>
        <v>0.936</v>
      </c>
      <c r="BG127" s="81" t="str">
        <f t="shared" si="2"/>
        <v>#DIV/0!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2085.0</v>
      </c>
      <c r="F128" s="66">
        <v>1.0</v>
      </c>
      <c r="G128" s="66">
        <v>1.0</v>
      </c>
      <c r="I128" s="66">
        <v>1.149</v>
      </c>
      <c r="J128" s="66" t="s">
        <v>58</v>
      </c>
      <c r="L128" s="66">
        <v>1.26</v>
      </c>
      <c r="M128" s="66" t="s">
        <v>58</v>
      </c>
      <c r="O128" s="66">
        <v>1.13</v>
      </c>
      <c r="P128" s="66" t="s">
        <v>58</v>
      </c>
      <c r="AI128" s="81">
        <f t="shared" si="1"/>
        <v>1.179666667</v>
      </c>
      <c r="BG128" s="81" t="str">
        <f t="shared" si="2"/>
        <v>#DIV/0!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  <c r="F129" s="66">
        <v>0.0</v>
      </c>
      <c r="G129" s="66">
        <v>7.0</v>
      </c>
      <c r="I129" s="66">
        <v>1.64</v>
      </c>
      <c r="J129" s="66">
        <v>0.174</v>
      </c>
      <c r="K129" s="66">
        <v>0.087</v>
      </c>
      <c r="L129" s="66">
        <v>1.315</v>
      </c>
      <c r="M129" s="66">
        <v>0.236</v>
      </c>
      <c r="N129" s="66">
        <v>0.113</v>
      </c>
      <c r="O129" s="66">
        <v>1.786</v>
      </c>
      <c r="P129" s="66">
        <v>0.2114</v>
      </c>
      <c r="Q129" s="66">
        <v>0.103</v>
      </c>
      <c r="R129" s="66">
        <v>1.59</v>
      </c>
      <c r="S129" s="66">
        <v>0.2139</v>
      </c>
      <c r="T129" s="66">
        <v>0.102</v>
      </c>
      <c r="AG129" s="66">
        <v>0.6473</v>
      </c>
      <c r="AH129" s="66">
        <v>0.304</v>
      </c>
      <c r="AI129" s="81">
        <f t="shared" si="1"/>
        <v>1.58275</v>
      </c>
      <c r="BG129" s="81" t="str">
        <f t="shared" si="2"/>
        <v>#DIV/0!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  <c r="F130" s="66">
        <v>0.0</v>
      </c>
      <c r="G130" s="66">
        <v>6.0</v>
      </c>
      <c r="I130" s="66">
        <v>1.52</v>
      </c>
      <c r="J130" s="66">
        <v>0.1254</v>
      </c>
      <c r="K130" s="66">
        <v>0.055</v>
      </c>
      <c r="L130" s="66">
        <v>1.14</v>
      </c>
      <c r="M130" s="66">
        <v>0.1518</v>
      </c>
      <c r="N130" s="66">
        <v>0.061</v>
      </c>
      <c r="O130" s="66">
        <v>1.53</v>
      </c>
      <c r="P130" s="66">
        <v>0.2002</v>
      </c>
      <c r="Q130" s="66">
        <v>0.078</v>
      </c>
      <c r="AG130" s="66">
        <v>0.5049</v>
      </c>
      <c r="AH130" s="66">
        <v>0.211</v>
      </c>
      <c r="AI130" s="81">
        <f t="shared" si="1"/>
        <v>1.396666667</v>
      </c>
      <c r="BG130" s="81" t="str">
        <f t="shared" si="2"/>
        <v>#DIV/0!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  <c r="I131" s="66">
        <v>0.92</v>
      </c>
      <c r="J131" s="66">
        <v>0.3054</v>
      </c>
      <c r="K131" s="66">
        <v>0.155</v>
      </c>
      <c r="L131" s="66">
        <v>0.55</v>
      </c>
      <c r="M131" s="66">
        <v>0.3707</v>
      </c>
      <c r="N131" s="66">
        <v>0.216</v>
      </c>
      <c r="O131" s="66">
        <v>1.56</v>
      </c>
      <c r="P131" s="66">
        <v>0.3022</v>
      </c>
      <c r="Q131" s="66">
        <v>0.157</v>
      </c>
      <c r="R131" s="66">
        <v>0.98</v>
      </c>
      <c r="S131" s="66">
        <v>0.3463</v>
      </c>
      <c r="T131" s="66">
        <v>0.18</v>
      </c>
      <c r="AG131" s="66">
        <v>1.8375</v>
      </c>
      <c r="AH131" s="66">
        <v>1.027</v>
      </c>
      <c r="AI131" s="81">
        <f t="shared" si="1"/>
        <v>1.0025</v>
      </c>
      <c r="BG131" s="81" t="str">
        <f t="shared" si="2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  <c r="I132" s="66">
        <v>0.782</v>
      </c>
      <c r="J132" s="66">
        <v>0.2919</v>
      </c>
      <c r="K132" s="66">
        <v>0.143</v>
      </c>
      <c r="L132" s="66">
        <v>0.645</v>
      </c>
      <c r="M132" s="66">
        <v>0.4059</v>
      </c>
      <c r="N132" s="66">
        <v>0.188</v>
      </c>
      <c r="O132" s="66">
        <v>0.779</v>
      </c>
      <c r="P132" s="66">
        <v>0.4371</v>
      </c>
      <c r="Q132" s="66">
        <v>0.261</v>
      </c>
      <c r="R132" s="66">
        <v>0.617</v>
      </c>
      <c r="S132" s="66">
        <v>0.308</v>
      </c>
      <c r="T132" s="66">
        <v>0.187</v>
      </c>
      <c r="AG132" s="66">
        <v>2.3073</v>
      </c>
      <c r="AH132" s="66">
        <v>1.21</v>
      </c>
      <c r="AI132" s="81">
        <f t="shared" si="1"/>
        <v>0.70575</v>
      </c>
      <c r="BG132" s="81" t="str">
        <f t="shared" si="2"/>
        <v>#DIV/0!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  <c r="F133" s="66">
        <v>0.0</v>
      </c>
      <c r="G133" s="66">
        <v>8.0</v>
      </c>
      <c r="I133" s="66">
        <v>0.77</v>
      </c>
      <c r="J133" s="66">
        <v>0.2779</v>
      </c>
      <c r="K133" s="66">
        <v>0.116</v>
      </c>
      <c r="L133" s="66">
        <v>0.9</v>
      </c>
      <c r="M133" s="66">
        <v>0.2038</v>
      </c>
      <c r="N133" s="66">
        <v>0.081</v>
      </c>
      <c r="O133" s="66">
        <v>1.26</v>
      </c>
      <c r="P133" s="66">
        <v>0.187</v>
      </c>
      <c r="Q133" s="66">
        <v>0.073</v>
      </c>
      <c r="R133" s="66">
        <v>1.44</v>
      </c>
      <c r="S133" s="66">
        <v>0.2177</v>
      </c>
      <c r="T133" s="66">
        <v>0.1</v>
      </c>
      <c r="AG133" s="66">
        <v>0.6158</v>
      </c>
      <c r="AH133" s="66">
        <v>0.235</v>
      </c>
      <c r="AI133" s="81">
        <f t="shared" si="1"/>
        <v>1.0925</v>
      </c>
      <c r="BG133" s="81" t="str">
        <f t="shared" si="2"/>
        <v>#DIV/0!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  <c r="F134" s="66">
        <v>0.0</v>
      </c>
      <c r="G134" s="66">
        <v>7.0</v>
      </c>
      <c r="I134" s="66">
        <v>1.1</v>
      </c>
      <c r="J134" s="66">
        <v>0.1097</v>
      </c>
      <c r="K134" s="66">
        <v>0.05</v>
      </c>
      <c r="L134" s="66">
        <v>1.35</v>
      </c>
      <c r="M134" s="66">
        <v>0.1081</v>
      </c>
      <c r="N134" s="66">
        <v>0.05</v>
      </c>
      <c r="O134" s="66">
        <v>1.42</v>
      </c>
      <c r="P134" s="66">
        <v>0.1479</v>
      </c>
      <c r="Q134" s="66">
        <v>0.064</v>
      </c>
      <c r="R134" s="66">
        <v>1.5</v>
      </c>
      <c r="S134" s="66">
        <v>0.0972</v>
      </c>
      <c r="T134" s="66">
        <v>0.045</v>
      </c>
      <c r="AG134" s="66">
        <v>0.2484</v>
      </c>
      <c r="AH134" s="66">
        <v>0.113</v>
      </c>
      <c r="AI134" s="81">
        <f t="shared" si="1"/>
        <v>1.3425</v>
      </c>
      <c r="BG134" s="81" t="str">
        <f t="shared" si="2"/>
        <v>#DIV/0!</v>
      </c>
    </row>
    <row r="135">
      <c r="A135" s="66" t="s">
        <v>124</v>
      </c>
      <c r="B135" s="106" t="s">
        <v>125</v>
      </c>
      <c r="C135" s="66" t="s">
        <v>305</v>
      </c>
      <c r="D135" s="114" t="s">
        <v>61</v>
      </c>
      <c r="E135" s="66">
        <v>2026.0</v>
      </c>
      <c r="F135" s="66">
        <v>0.0</v>
      </c>
      <c r="G135" s="66">
        <v>6.0</v>
      </c>
      <c r="I135" s="66">
        <v>1.6</v>
      </c>
      <c r="J135" s="66">
        <v>0.133</v>
      </c>
      <c r="K135" s="66">
        <v>0.05</v>
      </c>
      <c r="L135" s="66">
        <v>1.15</v>
      </c>
      <c r="M135" s="66">
        <v>0.1327</v>
      </c>
      <c r="N135" s="66">
        <v>0.053</v>
      </c>
      <c r="O135" s="66">
        <v>1.59</v>
      </c>
      <c r="P135" s="66">
        <v>0.1909</v>
      </c>
      <c r="Q135" s="66">
        <v>0.076</v>
      </c>
      <c r="R135" s="66">
        <v>1.43</v>
      </c>
      <c r="S135" s="66">
        <v>0.1652</v>
      </c>
      <c r="T135" s="66">
        <v>0.068</v>
      </c>
      <c r="AG135" s="66">
        <v>0.758</v>
      </c>
      <c r="AH135" s="66">
        <v>0.297</v>
      </c>
      <c r="AI135" s="81">
        <f t="shared" si="1"/>
        <v>1.4425</v>
      </c>
      <c r="BG135" s="81" t="str">
        <f t="shared" si="2"/>
        <v>#DIV/0!</v>
      </c>
    </row>
    <row r="136">
      <c r="A136" s="66" t="s">
        <v>124</v>
      </c>
      <c r="B136" s="106" t="s">
        <v>125</v>
      </c>
      <c r="C136" s="66" t="s">
        <v>305</v>
      </c>
      <c r="D136" s="114" t="s">
        <v>61</v>
      </c>
      <c r="E136" s="66">
        <v>2027.0</v>
      </c>
      <c r="F136" s="66">
        <v>0.0</v>
      </c>
      <c r="G136" s="66">
        <v>7.0</v>
      </c>
      <c r="I136" s="66">
        <v>1.42</v>
      </c>
      <c r="J136" s="66">
        <v>0.0967</v>
      </c>
      <c r="K136" s="66">
        <v>0.079</v>
      </c>
      <c r="L136" s="66">
        <v>1.6</v>
      </c>
      <c r="M136" s="66">
        <v>0.0958</v>
      </c>
      <c r="N136" s="66">
        <v>0.094</v>
      </c>
      <c r="O136" s="66">
        <v>1.55</v>
      </c>
      <c r="P136" s="66">
        <v>0.1248</v>
      </c>
      <c r="Q136" s="66">
        <v>0.051</v>
      </c>
      <c r="R136" s="66">
        <v>1.4</v>
      </c>
      <c r="S136" s="66">
        <v>0.1722</v>
      </c>
      <c r="U136" s="66">
        <v>1.32</v>
      </c>
      <c r="V136" s="66">
        <v>0.1902</v>
      </c>
      <c r="X136" s="66">
        <v>1.39</v>
      </c>
      <c r="Y136" s="66">
        <v>0.1053</v>
      </c>
      <c r="AG136" s="66">
        <v>0.3338</v>
      </c>
      <c r="AH136" s="66">
        <v>0.14</v>
      </c>
      <c r="AI136" s="81">
        <f t="shared" si="1"/>
        <v>1.446666667</v>
      </c>
      <c r="BG136" s="81" t="str">
        <f t="shared" si="2"/>
        <v>#DIV/0!</v>
      </c>
    </row>
    <row r="137">
      <c r="A137" s="66" t="s">
        <v>124</v>
      </c>
      <c r="B137" s="106" t="s">
        <v>125</v>
      </c>
      <c r="C137" s="66" t="s">
        <v>305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305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305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306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306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306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1478.0</v>
      </c>
    </row>
    <row r="146">
      <c r="D146" s="112"/>
    </row>
    <row r="147">
      <c r="D147" s="112"/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44635.0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1.773</v>
      </c>
      <c r="L24" s="66">
        <v>1.82</v>
      </c>
      <c r="O24" s="66">
        <v>2.04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1.032</v>
      </c>
      <c r="L27" s="66">
        <v>2.001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1.812</v>
      </c>
      <c r="L30" s="66">
        <v>1.982</v>
      </c>
      <c r="O30" s="66">
        <v>1.9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2.078</v>
      </c>
      <c r="L47" s="66">
        <v>2.043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1.762</v>
      </c>
      <c r="L48" s="66">
        <v>2.168</v>
      </c>
      <c r="O48" s="66">
        <v>1.872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304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304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304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304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304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304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305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305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305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305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305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306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306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306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1478.0</v>
      </c>
    </row>
    <row r="146">
      <c r="D146" s="112"/>
    </row>
    <row r="147">
      <c r="D147" s="112"/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44645.0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130" t="s">
        <v>276</v>
      </c>
      <c r="AH6" s="130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130" t="s">
        <v>300</v>
      </c>
      <c r="BF6" s="130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G7" s="66">
        <v>7.0</v>
      </c>
      <c r="H7" s="82">
        <v>44645.0</v>
      </c>
      <c r="I7" s="66">
        <v>1.275</v>
      </c>
      <c r="J7" s="66">
        <v>1.275</v>
      </c>
      <c r="L7" s="66">
        <v>1.275</v>
      </c>
      <c r="M7" s="66">
        <v>1.275</v>
      </c>
      <c r="O7" s="66">
        <v>0.75</v>
      </c>
      <c r="P7" s="66">
        <v>0.75</v>
      </c>
      <c r="AG7" s="66">
        <v>3.599</v>
      </c>
      <c r="AH7" s="66">
        <v>2.21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G8" s="66">
        <v>9.0</v>
      </c>
      <c r="AM8" s="66">
        <v>2.3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G9" s="66">
        <v>2.0</v>
      </c>
      <c r="H9" s="82">
        <v>44645.0</v>
      </c>
      <c r="I9" s="66">
        <v>0.76</v>
      </c>
      <c r="L9" s="66">
        <v>1.16</v>
      </c>
      <c r="O9" s="66">
        <v>1.0</v>
      </c>
      <c r="S9" s="66">
        <v>1.24</v>
      </c>
      <c r="AG9" s="66">
        <v>5.212</v>
      </c>
      <c r="AH9" s="66">
        <v>2.663</v>
      </c>
      <c r="AJ9" s="66">
        <v>2.725</v>
      </c>
      <c r="AM9" s="66">
        <v>2.4</v>
      </c>
      <c r="AP9" s="66">
        <v>2.45</v>
      </c>
      <c r="AS9" s="66">
        <v>3.25</v>
      </c>
      <c r="AV9" s="66">
        <v>2.95</v>
      </c>
      <c r="BE9" s="66">
        <v>0.211</v>
      </c>
      <c r="BF9" s="66">
        <v>0.124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G10" s="66">
        <v>7.0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G12" s="66">
        <v>8.0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G13" s="66">
        <v>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G15" s="66">
        <v>7.0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G16" s="66">
        <v>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G18" s="66">
        <v>10.0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G19" s="66">
        <v>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G21" s="66">
        <v>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G22" s="66">
        <v>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G23" s="66">
        <v>9.0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9.0</v>
      </c>
      <c r="H24" s="82">
        <v>44645.0</v>
      </c>
      <c r="I24" s="66">
        <v>1.35</v>
      </c>
      <c r="L24" s="66">
        <v>2.4</v>
      </c>
      <c r="O24" s="66">
        <v>2.4</v>
      </c>
      <c r="R24" s="66">
        <v>2.21</v>
      </c>
      <c r="AG24" s="66">
        <v>1.717</v>
      </c>
      <c r="AH24" s="66">
        <v>0.712</v>
      </c>
      <c r="AJ24" s="66">
        <v>2.05</v>
      </c>
      <c r="AM24" s="66">
        <v>2.55</v>
      </c>
      <c r="AP24" s="66">
        <v>2.0</v>
      </c>
      <c r="AS24" s="66">
        <v>2.2</v>
      </c>
      <c r="BE24" s="66">
        <v>1.099</v>
      </c>
      <c r="BF24" s="66">
        <v>0.483</v>
      </c>
      <c r="BH24" s="66" t="s">
        <v>356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G25" s="66">
        <v>8.0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9.0</v>
      </c>
      <c r="H27" s="82">
        <v>44645.0</v>
      </c>
      <c r="I27" s="66">
        <v>0.9</v>
      </c>
      <c r="AJ27" s="66">
        <v>1.35</v>
      </c>
      <c r="AM27" s="66">
        <v>1.95</v>
      </c>
      <c r="AP27" s="66">
        <v>1.95</v>
      </c>
      <c r="AS27" s="66">
        <v>1.95</v>
      </c>
      <c r="BE27" s="66">
        <v>0.359</v>
      </c>
      <c r="BF27" s="66">
        <v>0.144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9.0</v>
      </c>
      <c r="H30" s="82">
        <v>44645.0</v>
      </c>
      <c r="J30" s="66">
        <v>1.3</v>
      </c>
      <c r="M30" s="66">
        <v>0.702</v>
      </c>
      <c r="P30" s="66">
        <v>0.802</v>
      </c>
      <c r="S30" s="66">
        <v>0.99</v>
      </c>
      <c r="AG30" s="66">
        <v>2.582</v>
      </c>
      <c r="AH30" s="66">
        <v>1.071</v>
      </c>
      <c r="AJ30" s="66">
        <v>3.05</v>
      </c>
      <c r="AM30" s="66">
        <v>2.55</v>
      </c>
      <c r="AP30" s="66">
        <v>2.8</v>
      </c>
      <c r="BE30" s="66">
        <v>0.669</v>
      </c>
      <c r="BF30" s="66">
        <v>0.287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G31" s="66">
        <v>1.0</v>
      </c>
      <c r="H31" s="82">
        <v>44645.0</v>
      </c>
      <c r="I31" s="66">
        <v>0.45</v>
      </c>
      <c r="J31" s="66">
        <v>0.45</v>
      </c>
      <c r="L31" s="66">
        <v>0.475</v>
      </c>
      <c r="M31" s="66">
        <v>0.475</v>
      </c>
      <c r="O31" s="66">
        <v>0.4</v>
      </c>
      <c r="P31" s="66">
        <v>0.4</v>
      </c>
      <c r="AG31" s="66">
        <v>4.237</v>
      </c>
      <c r="AH31" s="66">
        <v>2.454</v>
      </c>
      <c r="AJ31" s="66">
        <v>2.35</v>
      </c>
      <c r="AM31" s="66">
        <v>2.3</v>
      </c>
      <c r="AP31" s="66">
        <v>2.55</v>
      </c>
      <c r="BE31" s="66">
        <v>1.072</v>
      </c>
      <c r="BF31" s="66">
        <v>0.641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G32" s="66">
        <v>5.0</v>
      </c>
      <c r="H32" s="82">
        <v>44645.0</v>
      </c>
      <c r="J32" s="66">
        <v>0.65</v>
      </c>
      <c r="M32" s="66">
        <v>0.7</v>
      </c>
      <c r="P32" s="66">
        <v>0.65</v>
      </c>
      <c r="AG32" s="66">
        <v>4.734</v>
      </c>
      <c r="AH32" s="66">
        <v>2.489</v>
      </c>
      <c r="AJ32" s="66">
        <v>2.55</v>
      </c>
      <c r="AM32" s="66">
        <v>3.45</v>
      </c>
      <c r="AP32" s="66">
        <v>1.4</v>
      </c>
      <c r="AS32" s="66">
        <v>1.4</v>
      </c>
      <c r="AV32" s="66">
        <v>1.6</v>
      </c>
      <c r="AY32" s="66">
        <v>3.4</v>
      </c>
      <c r="BE32" s="66">
        <v>2.672</v>
      </c>
      <c r="BF32" s="66">
        <v>1.472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G33" s="66">
        <v>9.0</v>
      </c>
      <c r="H33" s="82">
        <v>44645.0</v>
      </c>
      <c r="I33" s="66">
        <v>0.875</v>
      </c>
      <c r="J33" s="66">
        <v>0.875</v>
      </c>
      <c r="L33" s="66">
        <v>1.05</v>
      </c>
      <c r="M33" s="66">
        <v>1.05</v>
      </c>
      <c r="O33" s="66">
        <v>1.05</v>
      </c>
      <c r="P33" s="66">
        <v>1.05</v>
      </c>
      <c r="AG33" s="66">
        <v>2.082</v>
      </c>
      <c r="AH33" s="66">
        <v>0.951</v>
      </c>
      <c r="AJ33" s="66">
        <v>2.8</v>
      </c>
      <c r="AM33" s="66">
        <v>3.025</v>
      </c>
      <c r="AP33" s="66">
        <v>3.025</v>
      </c>
      <c r="BE33" s="66">
        <v>2.265</v>
      </c>
      <c r="BF33" s="66">
        <v>1.078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G34" s="66">
        <v>10.0</v>
      </c>
      <c r="H34" s="82">
        <v>44645.0</v>
      </c>
      <c r="I34" s="66">
        <v>0.919</v>
      </c>
      <c r="J34" s="66">
        <v>0.919</v>
      </c>
      <c r="L34" s="66">
        <v>1.058</v>
      </c>
      <c r="M34" s="66">
        <v>1.058</v>
      </c>
      <c r="O34" s="66">
        <v>1.066</v>
      </c>
      <c r="P34" s="66">
        <v>1.066</v>
      </c>
      <c r="R34" s="66">
        <v>1.085</v>
      </c>
      <c r="S34" s="66">
        <v>1.085</v>
      </c>
      <c r="AG34" s="66">
        <v>2.164</v>
      </c>
      <c r="AH34" s="66">
        <v>0.988</v>
      </c>
      <c r="AJ34" s="66">
        <v>3.55</v>
      </c>
      <c r="AM34" s="66">
        <v>3.0</v>
      </c>
      <c r="AP34" s="66">
        <v>3.025</v>
      </c>
      <c r="AS34" s="66">
        <v>3.2</v>
      </c>
      <c r="BE34" s="66">
        <v>1.695</v>
      </c>
      <c r="BF34" s="66">
        <v>0.84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G35" s="66">
        <v>3.0</v>
      </c>
      <c r="H35" s="82">
        <v>44645.0</v>
      </c>
      <c r="I35" s="66">
        <v>0.4</v>
      </c>
      <c r="J35" s="66">
        <v>0.4</v>
      </c>
      <c r="L35" s="66">
        <v>0.4</v>
      </c>
      <c r="M35" s="66">
        <v>0.4</v>
      </c>
      <c r="O35" s="66">
        <v>0.3</v>
      </c>
      <c r="P35" s="66">
        <v>0.3</v>
      </c>
      <c r="R35" s="66">
        <v>0.45</v>
      </c>
      <c r="S35" s="66">
        <v>0.45</v>
      </c>
      <c r="AG35" s="66">
        <v>6.155</v>
      </c>
      <c r="AH35" s="66">
        <v>3.531</v>
      </c>
      <c r="AJ35" s="66">
        <v>2.35</v>
      </c>
      <c r="AM35" s="66">
        <v>1.7</v>
      </c>
      <c r="AP35" s="66">
        <v>1.9</v>
      </c>
      <c r="AS35" s="66">
        <v>2.2</v>
      </c>
      <c r="BE35" s="66">
        <v>2.803</v>
      </c>
      <c r="BF35" s="66">
        <v>1.597</v>
      </c>
      <c r="BH35" s="66" t="s">
        <v>357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G36" s="66">
        <v>6.0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G37" s="66">
        <v>6.0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G38" s="66">
        <v>5.0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G39" s="66">
        <v>4.0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G40" s="66">
        <v>5.0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G41" s="66">
        <v>5.0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7.0</v>
      </c>
      <c r="H42" s="82">
        <v>44646.0</v>
      </c>
      <c r="I42" s="66">
        <v>1.2</v>
      </c>
      <c r="L42" s="66">
        <v>1.15</v>
      </c>
      <c r="O42" s="66">
        <v>1.45</v>
      </c>
      <c r="R42" s="66">
        <v>1.2</v>
      </c>
      <c r="AG42" s="66">
        <v>1.254</v>
      </c>
      <c r="AH42" s="66">
        <v>0.4</v>
      </c>
      <c r="AJ42" s="66">
        <v>2.35</v>
      </c>
      <c r="AM42" s="66">
        <v>2.1</v>
      </c>
      <c r="AP42" s="66">
        <v>1.8</v>
      </c>
      <c r="AS42" s="66">
        <v>2.257</v>
      </c>
      <c r="BE42" s="66">
        <v>0.964</v>
      </c>
      <c r="BF42" s="66">
        <v>0.363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G44" s="66">
        <v>5.0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G46" s="66">
        <v>0.0</v>
      </c>
      <c r="H46" s="82">
        <v>44645.0</v>
      </c>
      <c r="I46" s="66">
        <v>3.1</v>
      </c>
      <c r="L46" s="66">
        <v>3.45</v>
      </c>
      <c r="O46" s="66">
        <v>1.8</v>
      </c>
      <c r="R46" s="66">
        <v>2.7</v>
      </c>
      <c r="AG46" s="66">
        <v>0.694</v>
      </c>
      <c r="AH46" s="66">
        <v>0.393</v>
      </c>
      <c r="AJ46" s="66">
        <v>1.85</v>
      </c>
      <c r="AM46" s="66">
        <v>2.05</v>
      </c>
      <c r="AP46" s="66">
        <v>1.3</v>
      </c>
      <c r="AS46" s="66">
        <v>1.5</v>
      </c>
      <c r="AV46" s="66">
        <v>2.5</v>
      </c>
      <c r="AY46" s="66">
        <v>2.4</v>
      </c>
      <c r="BB46" s="66">
        <v>2.45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4.0</v>
      </c>
      <c r="H47" s="82">
        <v>44645.0</v>
      </c>
      <c r="I47" s="66">
        <v>2.2</v>
      </c>
      <c r="L47" s="66">
        <v>1.55</v>
      </c>
      <c r="O47" s="66">
        <v>1.6</v>
      </c>
      <c r="AG47" s="66">
        <v>0.467</v>
      </c>
      <c r="AH47" s="66">
        <v>0.172</v>
      </c>
      <c r="AJ47" s="66">
        <v>2.9</v>
      </c>
      <c r="AM47" s="66">
        <v>2.9</v>
      </c>
      <c r="AP47" s="66">
        <v>3.3</v>
      </c>
      <c r="AS47" s="66">
        <v>2.35</v>
      </c>
      <c r="AV47" s="66">
        <v>2.35</v>
      </c>
      <c r="AY47" s="66">
        <v>2.3</v>
      </c>
      <c r="BE47" s="66">
        <v>0.166</v>
      </c>
      <c r="BF47" s="66">
        <v>0.076</v>
      </c>
      <c r="BH47" s="66" t="s">
        <v>356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6.0</v>
      </c>
      <c r="H48" s="82">
        <v>44646.0</v>
      </c>
      <c r="I48" s="66">
        <v>1.1</v>
      </c>
      <c r="L48" s="66">
        <v>1.5</v>
      </c>
      <c r="O48" s="66">
        <v>1.0</v>
      </c>
      <c r="AJ48" s="66">
        <v>2.4</v>
      </c>
      <c r="AM48" s="66">
        <v>2.5</v>
      </c>
      <c r="AP48" s="66">
        <v>2.0</v>
      </c>
      <c r="AS48" s="66">
        <v>2.35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G49" s="66">
        <v>6.0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G50" s="66">
        <v>6.0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G51" s="66">
        <v>4.0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G53" s="66">
        <v>5.0</v>
      </c>
      <c r="H53" s="82">
        <v>44646.0</v>
      </c>
      <c r="I53" s="66">
        <v>1.05</v>
      </c>
      <c r="L53" s="66">
        <v>0.9</v>
      </c>
      <c r="O53" s="66">
        <v>1.4</v>
      </c>
      <c r="R53" s="66">
        <v>0.95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G54" s="66">
        <v>7.0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G55" s="66">
        <v>8.0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G56" s="66">
        <v>5.0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66">
        <v>2.0</v>
      </c>
      <c r="G57" s="66">
        <v>5.0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G58" s="66">
        <v>5.0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G59" s="66">
        <v>0.0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G60" s="66">
        <v>7.0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G61" s="66">
        <v>6.0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G62" s="66">
        <v>7.0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G63" s="66">
        <v>6.0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G64" s="66">
        <v>4.0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G65" s="66">
        <v>7.0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G66" s="66">
        <v>5.0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G67" s="66">
        <v>0.0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G68" s="66">
        <v>5.0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G69" s="66">
        <v>7.0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G70" s="66">
        <v>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G71" s="66">
        <v>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G72" s="66">
        <v>2.0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G73" s="66">
        <v>7.0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G74" s="66">
        <v>7.0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G75" s="66">
        <v>6.0</v>
      </c>
      <c r="H75" s="82">
        <v>44645.0</v>
      </c>
      <c r="I75" s="66">
        <v>1.9</v>
      </c>
      <c r="L75" s="66">
        <v>1.65</v>
      </c>
      <c r="O75" s="66">
        <v>1.75</v>
      </c>
      <c r="AG75" s="66">
        <v>2.027</v>
      </c>
      <c r="AH75" s="66">
        <v>1.223</v>
      </c>
      <c r="AJ75" s="66">
        <v>2.75</v>
      </c>
      <c r="AM75" s="66">
        <v>2.3</v>
      </c>
      <c r="AP75" s="66">
        <v>2.1</v>
      </c>
      <c r="AR75" s="66">
        <v>2.3</v>
      </c>
      <c r="BE75" s="66">
        <v>1.086</v>
      </c>
      <c r="BF75" s="66">
        <v>0.647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G76" s="66">
        <v>7.0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G77" s="66">
        <v>4.0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G78" s="66">
        <v>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G79" s="66">
        <v>4.0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G80" s="66">
        <v>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G82" s="66">
        <v>0.0</v>
      </c>
      <c r="H82" s="82">
        <v>44645.0</v>
      </c>
      <c r="I82" s="66">
        <v>0.95</v>
      </c>
      <c r="L82" s="66">
        <v>0.775</v>
      </c>
      <c r="O82" s="66">
        <v>0.9</v>
      </c>
      <c r="AG82" s="66">
        <v>2.3</v>
      </c>
      <c r="AH82" s="66">
        <v>1.313</v>
      </c>
      <c r="AJ82" s="66">
        <v>2.6</v>
      </c>
      <c r="AM82" s="66">
        <v>2.95</v>
      </c>
      <c r="AP82" s="66">
        <v>3.7</v>
      </c>
      <c r="AS82" s="66">
        <v>3.2</v>
      </c>
      <c r="AV82" s="66">
        <v>2.4</v>
      </c>
      <c r="BE82" s="66">
        <v>1.356</v>
      </c>
      <c r="BF82" s="66">
        <v>0.781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G83" s="66">
        <v>4.0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G84" s="66">
        <v>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G85" s="66">
        <v>2.0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G86" s="66">
        <v>4.0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G87" s="66">
        <v>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G88" s="66">
        <v>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G89" s="66">
        <v>3.0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G90" s="66">
        <v>4.0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G91" s="66">
        <v>3.0</v>
      </c>
      <c r="H91" s="82">
        <v>44646.0</v>
      </c>
      <c r="I91" s="66">
        <v>1.15</v>
      </c>
      <c r="L91" s="66">
        <v>1.35</v>
      </c>
      <c r="O91" s="66">
        <v>1.25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G92" s="66">
        <v>5.0</v>
      </c>
      <c r="H92" s="82">
        <v>44645.0</v>
      </c>
      <c r="I92" s="66">
        <v>1.3</v>
      </c>
      <c r="L92" s="66">
        <v>1.2</v>
      </c>
      <c r="O92" s="66">
        <v>0.95</v>
      </c>
      <c r="AG92" s="66">
        <v>0.302</v>
      </c>
      <c r="AH92" s="66">
        <v>0.095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G93" s="66">
        <v>7.0</v>
      </c>
      <c r="H93" s="82">
        <v>44645.0</v>
      </c>
      <c r="I93" s="66">
        <v>1.65</v>
      </c>
      <c r="L93" s="66">
        <v>1.8</v>
      </c>
      <c r="O93" s="66">
        <v>1.8</v>
      </c>
      <c r="AG93" s="66">
        <v>0.892</v>
      </c>
      <c r="AH93" s="66">
        <v>0.299</v>
      </c>
      <c r="AJ93" s="66">
        <v>2.1</v>
      </c>
      <c r="AM93" s="66">
        <v>1.6</v>
      </c>
      <c r="AP93" s="66">
        <v>1.85</v>
      </c>
      <c r="AS93" s="66">
        <v>1.9</v>
      </c>
      <c r="AV93" s="66">
        <v>1.9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G94" s="66">
        <v>5.0</v>
      </c>
      <c r="H94" s="82">
        <v>44645.0</v>
      </c>
      <c r="I94" s="66">
        <v>0.95</v>
      </c>
      <c r="L94" s="66">
        <v>1.025</v>
      </c>
      <c r="O94" s="66">
        <v>1.15</v>
      </c>
      <c r="AG94" s="66">
        <v>1.074</v>
      </c>
      <c r="AH94" s="66">
        <v>0.333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G107" s="66">
        <v>10.0</v>
      </c>
      <c r="H107" s="82">
        <v>44645.0</v>
      </c>
      <c r="I107" s="66">
        <v>0.408</v>
      </c>
      <c r="J107" s="66">
        <v>0.408</v>
      </c>
      <c r="L107" s="66">
        <v>0.482</v>
      </c>
      <c r="M107" s="66">
        <v>0.482</v>
      </c>
      <c r="O107" s="66">
        <v>0.422</v>
      </c>
      <c r="P107" s="66">
        <v>0.422</v>
      </c>
      <c r="AG107" s="66">
        <v>1.254</v>
      </c>
      <c r="AH107" s="66">
        <v>0.545</v>
      </c>
      <c r="AJ107" s="66">
        <v>2.35</v>
      </c>
      <c r="AM107" s="66">
        <v>2.5</v>
      </c>
      <c r="AP107" s="66">
        <v>2.15</v>
      </c>
      <c r="BE107" s="66">
        <v>0.744</v>
      </c>
      <c r="BF107" s="66">
        <v>0.339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G110" s="66">
        <v>10.0</v>
      </c>
      <c r="H110" s="82">
        <v>44645.0</v>
      </c>
      <c r="I110" s="66">
        <v>0.936</v>
      </c>
      <c r="J110" s="66">
        <v>0.936</v>
      </c>
      <c r="L110" s="66">
        <v>0.966</v>
      </c>
      <c r="M110" s="66">
        <v>0.966</v>
      </c>
      <c r="O110" s="66">
        <v>0.972</v>
      </c>
      <c r="P110" s="66">
        <v>0.972</v>
      </c>
      <c r="AG110" s="66">
        <v>3.251</v>
      </c>
      <c r="AH110" s="66">
        <v>1.477</v>
      </c>
      <c r="AJ110" s="66">
        <v>2.9</v>
      </c>
      <c r="AM110" s="66">
        <v>3.3</v>
      </c>
      <c r="AP110" s="66">
        <v>2.6</v>
      </c>
      <c r="AS110" s="66">
        <v>1.9</v>
      </c>
      <c r="AV110" s="66">
        <v>2.5</v>
      </c>
      <c r="AY110" s="66">
        <v>3.15</v>
      </c>
      <c r="BB110" s="66">
        <v>2.55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G111" s="66">
        <v>10.0</v>
      </c>
      <c r="H111" s="82">
        <v>44645.0</v>
      </c>
      <c r="I111" s="66">
        <v>0.673</v>
      </c>
      <c r="J111" s="66">
        <v>0.673</v>
      </c>
      <c r="L111" s="66">
        <v>0.624</v>
      </c>
      <c r="M111" s="66">
        <v>0.624</v>
      </c>
      <c r="O111" s="66">
        <v>0.641</v>
      </c>
      <c r="P111" s="66">
        <v>0.641</v>
      </c>
      <c r="AG111" s="66">
        <v>3.719</v>
      </c>
      <c r="AH111" s="66">
        <v>1.718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G112" s="66">
        <v>10.0</v>
      </c>
      <c r="H112" s="82">
        <v>44645.0</v>
      </c>
      <c r="I112" s="66">
        <v>0.828</v>
      </c>
      <c r="J112" s="66">
        <v>0.828</v>
      </c>
      <c r="L112" s="66">
        <v>0.574</v>
      </c>
      <c r="M112" s="66">
        <v>0.574</v>
      </c>
      <c r="O112" s="66">
        <v>0.633</v>
      </c>
      <c r="P112" s="66">
        <v>0.633</v>
      </c>
      <c r="R112" s="66">
        <v>0.682</v>
      </c>
      <c r="S112" s="66">
        <v>0.682</v>
      </c>
      <c r="AG112" s="66">
        <v>1.287</v>
      </c>
      <c r="AH112" s="66">
        <v>0.59</v>
      </c>
      <c r="AJ112" s="66">
        <v>2.6</v>
      </c>
      <c r="AM112" s="66">
        <v>2.55</v>
      </c>
      <c r="AP112" s="66">
        <v>2.8</v>
      </c>
      <c r="AS112" s="66">
        <v>2.1</v>
      </c>
      <c r="AV112" s="66">
        <v>2.5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304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304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304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304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304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304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305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305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305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305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305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306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306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306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1478.0</v>
      </c>
    </row>
    <row r="146">
      <c r="A146" s="66" t="s">
        <v>89</v>
      </c>
      <c r="B146" s="106" t="s">
        <v>113</v>
      </c>
      <c r="C146" s="66" t="s">
        <v>308</v>
      </c>
      <c r="D146" s="114" t="s">
        <v>61</v>
      </c>
      <c r="E146" s="66">
        <v>2009.0</v>
      </c>
      <c r="G146" s="66">
        <v>8.0</v>
      </c>
      <c r="H146" s="82">
        <v>44645.0</v>
      </c>
      <c r="I146" s="66">
        <v>1.25</v>
      </c>
      <c r="L146" s="66">
        <v>1.1</v>
      </c>
      <c r="O146" s="66">
        <v>1.45</v>
      </c>
      <c r="AG146" s="66">
        <v>3.228</v>
      </c>
      <c r="AH146" s="66">
        <v>1.395</v>
      </c>
      <c r="AJ146" s="66">
        <v>2.15</v>
      </c>
      <c r="AM146" s="66">
        <v>1.95</v>
      </c>
      <c r="AP146" s="66">
        <v>1.9</v>
      </c>
      <c r="AS146" s="66">
        <v>2.25</v>
      </c>
      <c r="BE146" s="66">
        <v>0.608</v>
      </c>
      <c r="BF146" s="66">
        <v>0.285</v>
      </c>
    </row>
    <row r="147">
      <c r="A147" s="66" t="s">
        <v>89</v>
      </c>
      <c r="B147" s="106" t="s">
        <v>91</v>
      </c>
      <c r="C147" s="66" t="s">
        <v>307</v>
      </c>
      <c r="D147" s="114" t="s">
        <v>61</v>
      </c>
      <c r="E147" s="66">
        <v>2010.0</v>
      </c>
      <c r="G147" s="66">
        <v>10.0</v>
      </c>
      <c r="H147" s="82">
        <v>44645.0</v>
      </c>
      <c r="I147" s="66">
        <v>1.65</v>
      </c>
      <c r="L147" s="66">
        <v>1.2</v>
      </c>
      <c r="O147" s="66">
        <v>1.6</v>
      </c>
      <c r="R147" s="66">
        <v>1.5</v>
      </c>
      <c r="AG147" s="66">
        <v>0.426</v>
      </c>
      <c r="AH147" s="66">
        <v>0.129</v>
      </c>
      <c r="AJ147" s="66">
        <v>2.05</v>
      </c>
      <c r="AM147" s="66">
        <v>1.9</v>
      </c>
      <c r="AP147" s="66">
        <v>1.93</v>
      </c>
      <c r="BH147" s="66" t="s">
        <v>356</v>
      </c>
    </row>
    <row r="148">
      <c r="D148" s="112"/>
      <c r="BE148" s="66">
        <v>0.665</v>
      </c>
      <c r="BF148" s="66">
        <v>0.193</v>
      </c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44650.0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0.69</v>
      </c>
      <c r="J7" s="66">
        <v>0.5258</v>
      </c>
      <c r="L7" s="66">
        <v>1.34</v>
      </c>
      <c r="M7" s="66">
        <v>0.8877</v>
      </c>
      <c r="O7" s="66">
        <v>0.609</v>
      </c>
      <c r="P7" s="66">
        <v>0.6782</v>
      </c>
      <c r="R7" s="66">
        <v>0.52</v>
      </c>
      <c r="AG7" s="66">
        <v>1.373</v>
      </c>
      <c r="AH7" s="66">
        <v>0.882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0.748</v>
      </c>
      <c r="J9" s="66">
        <v>2.6446</v>
      </c>
      <c r="L9" s="66">
        <v>0.87</v>
      </c>
      <c r="M9" s="66">
        <v>3.0135</v>
      </c>
      <c r="O9" s="66">
        <v>0.554</v>
      </c>
      <c r="P9" s="66">
        <v>1.3947</v>
      </c>
      <c r="R9" s="66">
        <v>0.89</v>
      </c>
      <c r="U9" s="66">
        <v>1.02</v>
      </c>
      <c r="AG9" s="66">
        <v>1.3441</v>
      </c>
      <c r="AH9" s="66">
        <v>0.669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1.214</v>
      </c>
      <c r="J18" s="66">
        <v>1.0328</v>
      </c>
      <c r="L18" s="66">
        <v>0.97</v>
      </c>
      <c r="M18" s="66">
        <v>0.9288</v>
      </c>
      <c r="O18" s="66">
        <v>1.06</v>
      </c>
      <c r="P18" s="66">
        <v>1.2668</v>
      </c>
      <c r="AG18" s="66">
        <v>1.5724</v>
      </c>
      <c r="AH18" s="66">
        <v>0.757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J23" s="66">
        <v>0.4321</v>
      </c>
      <c r="M23" s="66">
        <v>1.1874</v>
      </c>
      <c r="P23" s="66">
        <v>0.9958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1.03</v>
      </c>
      <c r="L24" s="66">
        <v>1.12</v>
      </c>
      <c r="O24" s="66">
        <v>1.16</v>
      </c>
      <c r="AG24" s="66">
        <v>0.8271</v>
      </c>
      <c r="AH24" s="66">
        <v>0.393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1.11</v>
      </c>
      <c r="J27" s="81">
        <f>0.161+1.5393</f>
        <v>1.7003</v>
      </c>
      <c r="L27" s="66">
        <v>1.11</v>
      </c>
      <c r="M27" s="66">
        <v>0.9452</v>
      </c>
      <c r="P27" s="66">
        <v>0.7471</v>
      </c>
      <c r="AG27" s="66">
        <v>1.258</v>
      </c>
      <c r="AH27" s="66">
        <v>0.581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1.21</v>
      </c>
      <c r="J30" s="66">
        <v>0.97</v>
      </c>
      <c r="L30" s="66">
        <v>0.98</v>
      </c>
      <c r="M30" s="66">
        <v>0.482</v>
      </c>
      <c r="O30" s="66">
        <v>0.93</v>
      </c>
      <c r="P30" s="66">
        <v>0.4499</v>
      </c>
      <c r="R30" s="66">
        <v>1.06</v>
      </c>
      <c r="AG30" s="66">
        <v>0.8397</v>
      </c>
      <c r="AH30" s="66">
        <v>0.4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0.25</v>
      </c>
      <c r="J31" s="66">
        <v>3.3447</v>
      </c>
      <c r="L31" s="66">
        <v>0.35</v>
      </c>
      <c r="M31" s="66">
        <v>0.6154</v>
      </c>
      <c r="O31" s="66">
        <v>0.25</v>
      </c>
      <c r="P31" s="66">
        <v>1.4186</v>
      </c>
      <c r="AG31" s="66">
        <v>2.8144</v>
      </c>
      <c r="AH31" s="66">
        <v>1.725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0.22</v>
      </c>
      <c r="J32" s="66">
        <v>0.9263</v>
      </c>
      <c r="L32" s="66">
        <v>0.3</v>
      </c>
      <c r="M32" s="66">
        <v>0.6756</v>
      </c>
      <c r="O32" s="66">
        <v>0.21</v>
      </c>
      <c r="P32" s="66">
        <v>1.7253</v>
      </c>
      <c r="AG32" s="81">
        <f>2.259-0.3092</f>
        <v>1.9498</v>
      </c>
      <c r="AH32" s="66">
        <v>1.251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0.63</v>
      </c>
      <c r="J33" s="66">
        <v>0.9152</v>
      </c>
      <c r="L33" s="66">
        <v>0.55</v>
      </c>
      <c r="M33" s="66">
        <v>1.1207</v>
      </c>
      <c r="O33" s="66">
        <v>0.55</v>
      </c>
      <c r="P33" s="66">
        <v>0.273</v>
      </c>
      <c r="R33" s="66">
        <v>0.61</v>
      </c>
      <c r="AG33" s="66">
        <v>1.4118</v>
      </c>
      <c r="AH33" s="66">
        <v>0.697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0.6</v>
      </c>
      <c r="J34" s="66">
        <v>0.2175</v>
      </c>
      <c r="L34" s="66">
        <v>0.45</v>
      </c>
      <c r="M34" s="66">
        <v>0.4687</v>
      </c>
      <c r="O34" s="66">
        <v>0.55</v>
      </c>
      <c r="P34" s="66">
        <v>0.5076</v>
      </c>
      <c r="R34" s="66">
        <v>0.4</v>
      </c>
      <c r="U34" s="66">
        <v>0.55</v>
      </c>
      <c r="AG34" s="66">
        <v>1.5152</v>
      </c>
      <c r="AH34" s="66">
        <v>0.756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0.271</v>
      </c>
      <c r="J35" s="66">
        <v>0.7421</v>
      </c>
      <c r="L35" s="66">
        <v>0.361</v>
      </c>
      <c r="M35" s="66">
        <v>2.6938</v>
      </c>
      <c r="O35" s="66">
        <v>0.241</v>
      </c>
      <c r="P35" s="66">
        <v>2.1783</v>
      </c>
      <c r="R35" s="66">
        <v>0.183</v>
      </c>
      <c r="U35" s="66">
        <v>1.176</v>
      </c>
      <c r="AG35" s="66">
        <v>1.7382</v>
      </c>
      <c r="AH35" s="66">
        <v>1.073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0.8</v>
      </c>
      <c r="J42" s="66">
        <v>0.7177</v>
      </c>
      <c r="L42" s="66">
        <v>1.05</v>
      </c>
      <c r="M42" s="66">
        <v>1.4125</v>
      </c>
      <c r="O42" s="66">
        <v>0.87</v>
      </c>
      <c r="P42" s="66">
        <v>0.3604</v>
      </c>
      <c r="AG42" s="66">
        <v>1.1816</v>
      </c>
      <c r="AH42" s="66">
        <v>0.478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0.23</v>
      </c>
      <c r="J46" s="66">
        <v>2.1683</v>
      </c>
      <c r="L46" s="66">
        <v>0.215</v>
      </c>
      <c r="M46" s="66">
        <v>2.4947</v>
      </c>
      <c r="P46" s="66">
        <v>1.72</v>
      </c>
      <c r="AG46" s="66">
        <v>0.3836</v>
      </c>
      <c r="AH46" s="66">
        <v>0.232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1.1</v>
      </c>
      <c r="J47" s="66">
        <v>0.5932</v>
      </c>
      <c r="L47" s="66">
        <v>1.0</v>
      </c>
      <c r="M47" s="66">
        <v>0.2559</v>
      </c>
      <c r="O47" s="66">
        <v>1.1</v>
      </c>
      <c r="P47" s="66">
        <v>0.1828</v>
      </c>
      <c r="AG47" s="66">
        <v>0.3764</v>
      </c>
      <c r="AH47" s="66">
        <v>0.161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1.177</v>
      </c>
      <c r="J48" s="66">
        <v>1.6727</v>
      </c>
      <c r="L48" s="66">
        <v>1.28</v>
      </c>
      <c r="M48" s="66">
        <v>0.4425</v>
      </c>
      <c r="O48" s="66">
        <v>1.24</v>
      </c>
      <c r="P48" s="66">
        <v>1.1916</v>
      </c>
      <c r="AG48" s="66">
        <v>0.3557</v>
      </c>
      <c r="AH48" s="66">
        <v>0.151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1.01</v>
      </c>
      <c r="J53" s="66">
        <v>0.4871</v>
      </c>
      <c r="L53" s="66">
        <v>1.01</v>
      </c>
      <c r="M53" s="66">
        <v>0.4551</v>
      </c>
      <c r="O53" s="66">
        <v>1.2</v>
      </c>
      <c r="P53" s="66">
        <v>0.7933</v>
      </c>
      <c r="AG53" s="66">
        <v>0.5395</v>
      </c>
      <c r="AH53" s="66">
        <v>0.199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0.45</v>
      </c>
      <c r="J75" s="66">
        <v>1.5339</v>
      </c>
      <c r="L75" s="66">
        <v>0.3</v>
      </c>
      <c r="M75" s="66">
        <v>2.9236</v>
      </c>
      <c r="O75" s="66">
        <v>0.425</v>
      </c>
      <c r="P75" s="66">
        <v>0.9921</v>
      </c>
      <c r="AG75" s="66">
        <v>1.4611</v>
      </c>
      <c r="AH75" s="66">
        <v>0.903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0.35</v>
      </c>
      <c r="J82" s="66">
        <v>1.6583</v>
      </c>
      <c r="L82" s="66">
        <v>0.45</v>
      </c>
      <c r="M82" s="66">
        <v>1.2179</v>
      </c>
      <c r="O82" s="66">
        <v>0.5</v>
      </c>
      <c r="P82" s="66">
        <v>1.4681</v>
      </c>
      <c r="R82" s="66">
        <v>0.55</v>
      </c>
      <c r="U82" s="66">
        <v>0.55</v>
      </c>
      <c r="AG82" s="66">
        <v>1.8827</v>
      </c>
      <c r="AH82" s="66">
        <v>1.119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1.13</v>
      </c>
      <c r="J91" s="66">
        <v>0.3183</v>
      </c>
      <c r="L91" s="66">
        <v>1.15</v>
      </c>
      <c r="M91" s="66">
        <v>0.2022</v>
      </c>
      <c r="O91" s="66">
        <v>1.204</v>
      </c>
      <c r="P91" s="66">
        <v>0.5121</v>
      </c>
      <c r="AG91" s="66">
        <v>0.2422</v>
      </c>
      <c r="AH91" s="66">
        <v>0.093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0.38</v>
      </c>
      <c r="J92" s="66">
        <v>0.8268</v>
      </c>
      <c r="L92" s="66">
        <v>1.1</v>
      </c>
      <c r="M92" s="66">
        <v>0.7536</v>
      </c>
      <c r="O92" s="66">
        <v>1.18</v>
      </c>
      <c r="P92" s="66">
        <v>1.3643</v>
      </c>
      <c r="R92" s="66">
        <v>1.12</v>
      </c>
      <c r="AG92" s="66">
        <v>0.3013</v>
      </c>
      <c r="AH92" s="66">
        <v>0.11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1.41</v>
      </c>
      <c r="J93" s="66">
        <v>0.7638</v>
      </c>
      <c r="L93" s="66">
        <v>1.19</v>
      </c>
      <c r="M93" s="66">
        <v>0.8885</v>
      </c>
      <c r="O93" s="66">
        <v>1.25</v>
      </c>
      <c r="P93" s="66">
        <v>1.5595</v>
      </c>
      <c r="AG93" s="66">
        <v>0.4522</v>
      </c>
      <c r="AH93" s="66">
        <v>0.167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0.42</v>
      </c>
      <c r="L107" s="66">
        <v>0.46</v>
      </c>
      <c r="O107" s="66">
        <v>0.42</v>
      </c>
      <c r="AG107" s="66">
        <v>1.7637</v>
      </c>
      <c r="AH107" s="66">
        <v>0.872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0.32</v>
      </c>
      <c r="L110" s="66">
        <v>0.32</v>
      </c>
      <c r="O110" s="66">
        <v>0.35</v>
      </c>
      <c r="AG110" s="66">
        <v>1.9034</v>
      </c>
      <c r="AH110" s="66">
        <v>0.982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0.4</v>
      </c>
      <c r="L111" s="66">
        <v>0.46</v>
      </c>
      <c r="O111" s="66">
        <v>0.45</v>
      </c>
      <c r="AG111" s="66">
        <v>2.3087</v>
      </c>
      <c r="AH111" s="66">
        <v>1.16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1.4</v>
      </c>
      <c r="L112" s="66">
        <v>1.4</v>
      </c>
      <c r="O112" s="66">
        <v>0.4</v>
      </c>
      <c r="R112" s="66">
        <v>0.2</v>
      </c>
      <c r="U112" s="66">
        <v>0.1</v>
      </c>
      <c r="X112" s="66">
        <v>0.4</v>
      </c>
      <c r="AA112" s="66">
        <v>0.4</v>
      </c>
      <c r="AG112" s="66">
        <v>1.2413</v>
      </c>
      <c r="AH112" s="66">
        <v>0.619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104</v>
      </c>
      <c r="B117" s="106" t="s">
        <v>107</v>
      </c>
      <c r="C117" s="66" t="s">
        <v>104</v>
      </c>
      <c r="D117" s="114" t="s">
        <v>160</v>
      </c>
      <c r="E117" s="66" t="s">
        <v>163</v>
      </c>
    </row>
    <row r="118">
      <c r="A118" s="66" t="s">
        <v>124</v>
      </c>
      <c r="B118" s="106" t="s">
        <v>124</v>
      </c>
      <c r="C118" s="66" t="s">
        <v>124</v>
      </c>
      <c r="D118" s="114" t="s">
        <v>95</v>
      </c>
      <c r="E118" s="66" t="s">
        <v>159</v>
      </c>
    </row>
    <row r="119">
      <c r="A119" s="66" t="s">
        <v>104</v>
      </c>
      <c r="B119" s="106" t="s">
        <v>107</v>
      </c>
      <c r="C119" s="66" t="s">
        <v>104</v>
      </c>
      <c r="D119" s="114" t="s">
        <v>95</v>
      </c>
      <c r="E119" s="66" t="s">
        <v>162</v>
      </c>
    </row>
    <row r="120">
      <c r="A120" s="66" t="s">
        <v>98</v>
      </c>
      <c r="B120" s="106" t="s">
        <v>105</v>
      </c>
      <c r="C120" s="66" t="s">
        <v>304</v>
      </c>
      <c r="D120" s="114" t="s">
        <v>56</v>
      </c>
      <c r="E120" s="66">
        <v>2093.0</v>
      </c>
    </row>
    <row r="121">
      <c r="A121" s="66" t="s">
        <v>98</v>
      </c>
      <c r="B121" s="106" t="s">
        <v>105</v>
      </c>
      <c r="C121" s="66" t="s">
        <v>304</v>
      </c>
      <c r="D121" s="114" t="s">
        <v>56</v>
      </c>
      <c r="E121" s="66">
        <v>2092.0</v>
      </c>
    </row>
    <row r="122">
      <c r="A122" s="66" t="s">
        <v>98</v>
      </c>
      <c r="B122" s="106" t="s">
        <v>105</v>
      </c>
      <c r="C122" s="66" t="s">
        <v>304</v>
      </c>
      <c r="D122" s="114" t="s">
        <v>56</v>
      </c>
      <c r="E122" s="66">
        <v>2091.0</v>
      </c>
    </row>
    <row r="123">
      <c r="A123" s="66" t="s">
        <v>98</v>
      </c>
      <c r="B123" s="106" t="s">
        <v>105</v>
      </c>
      <c r="C123" s="66" t="s">
        <v>304</v>
      </c>
      <c r="D123" s="114" t="s">
        <v>61</v>
      </c>
      <c r="E123" s="66">
        <v>2090.0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2089.0</v>
      </c>
    </row>
    <row r="125">
      <c r="A125" s="66" t="s">
        <v>98</v>
      </c>
      <c r="B125" s="106" t="s">
        <v>105</v>
      </c>
      <c r="C125" s="66" t="s">
        <v>304</v>
      </c>
      <c r="D125" s="114" t="s">
        <v>61</v>
      </c>
      <c r="E125" s="66">
        <v>2088.0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2087.0</v>
      </c>
    </row>
    <row r="127">
      <c r="A127" s="66" t="s">
        <v>98</v>
      </c>
      <c r="B127" s="106" t="s">
        <v>105</v>
      </c>
      <c r="C127" s="66" t="s">
        <v>304</v>
      </c>
      <c r="D127" s="114" t="s">
        <v>61</v>
      </c>
      <c r="E127" s="66">
        <v>2086.0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2085.0</v>
      </c>
    </row>
    <row r="129">
      <c r="A129" s="66" t="s">
        <v>124</v>
      </c>
      <c r="B129" s="106" t="s">
        <v>124</v>
      </c>
      <c r="C129" s="66" t="s">
        <v>124</v>
      </c>
      <c r="D129" s="114" t="s">
        <v>61</v>
      </c>
      <c r="E129" s="66">
        <v>2020.0</v>
      </c>
    </row>
    <row r="130">
      <c r="A130" s="66" t="s">
        <v>124</v>
      </c>
      <c r="B130" s="106" t="s">
        <v>124</v>
      </c>
      <c r="C130" s="66" t="s">
        <v>124</v>
      </c>
      <c r="D130" s="114" t="s">
        <v>61</v>
      </c>
      <c r="E130" s="66">
        <v>2021.0</v>
      </c>
    </row>
    <row r="131">
      <c r="A131" s="66" t="s">
        <v>124</v>
      </c>
      <c r="B131" s="106" t="s">
        <v>124</v>
      </c>
      <c r="C131" s="66" t="s">
        <v>124</v>
      </c>
      <c r="D131" s="114" t="s">
        <v>56</v>
      </c>
      <c r="E131" s="66">
        <v>2022.0</v>
      </c>
    </row>
    <row r="132">
      <c r="A132" s="66" t="s">
        <v>124</v>
      </c>
      <c r="B132" s="106" t="s">
        <v>124</v>
      </c>
      <c r="C132" s="66" t="s">
        <v>124</v>
      </c>
      <c r="D132" s="114" t="s">
        <v>56</v>
      </c>
      <c r="E132" s="66">
        <v>2023.0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2024.0</v>
      </c>
    </row>
    <row r="134">
      <c r="A134" s="66" t="s">
        <v>124</v>
      </c>
      <c r="B134" s="106" t="s">
        <v>124</v>
      </c>
      <c r="C134" s="66" t="s">
        <v>124</v>
      </c>
      <c r="D134" s="114" t="s">
        <v>61</v>
      </c>
      <c r="E134" s="66">
        <v>2025.0</v>
      </c>
    </row>
    <row r="135">
      <c r="A135" s="66" t="s">
        <v>124</v>
      </c>
      <c r="B135" s="106" t="s">
        <v>125</v>
      </c>
      <c r="C135" s="66" t="s">
        <v>305</v>
      </c>
      <c r="D135" s="114" t="s">
        <v>61</v>
      </c>
      <c r="E135" s="66">
        <v>2026.0</v>
      </c>
    </row>
    <row r="136">
      <c r="A136" s="66" t="s">
        <v>124</v>
      </c>
      <c r="B136" s="106" t="s">
        <v>125</v>
      </c>
      <c r="C136" s="66" t="s">
        <v>305</v>
      </c>
      <c r="D136" s="114" t="s">
        <v>61</v>
      </c>
      <c r="E136" s="66">
        <v>2027.0</v>
      </c>
    </row>
    <row r="137">
      <c r="A137" s="66" t="s">
        <v>124</v>
      </c>
      <c r="B137" s="106" t="s">
        <v>125</v>
      </c>
      <c r="C137" s="66" t="s">
        <v>305</v>
      </c>
      <c r="D137" s="114" t="s">
        <v>61</v>
      </c>
      <c r="E137" s="66">
        <v>2028.0</v>
      </c>
    </row>
    <row r="138">
      <c r="A138" s="66" t="s">
        <v>124</v>
      </c>
      <c r="B138" s="106" t="s">
        <v>125</v>
      </c>
      <c r="C138" s="66" t="s">
        <v>305</v>
      </c>
      <c r="D138" s="114" t="s">
        <v>56</v>
      </c>
      <c r="E138" s="66">
        <v>2029.0</v>
      </c>
    </row>
    <row r="139">
      <c r="A139" s="66" t="s">
        <v>124</v>
      </c>
      <c r="B139" s="106" t="s">
        <v>125</v>
      </c>
      <c r="C139" s="66" t="s">
        <v>305</v>
      </c>
      <c r="D139" s="114" t="s">
        <v>56</v>
      </c>
      <c r="E139" s="66">
        <v>2030.0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2031.0</v>
      </c>
    </row>
    <row r="141">
      <c r="A141" s="66" t="s">
        <v>104</v>
      </c>
      <c r="B141" s="106" t="s">
        <v>105</v>
      </c>
      <c r="C141" s="66" t="s">
        <v>306</v>
      </c>
      <c r="D141" s="114" t="s">
        <v>61</v>
      </c>
      <c r="E141" s="66">
        <v>2012.0</v>
      </c>
    </row>
    <row r="142">
      <c r="A142" s="66" t="s">
        <v>104</v>
      </c>
      <c r="B142" s="106" t="s">
        <v>105</v>
      </c>
      <c r="C142" s="66" t="s">
        <v>306</v>
      </c>
      <c r="D142" s="114" t="s">
        <v>61</v>
      </c>
      <c r="E142" s="66">
        <v>2013.0</v>
      </c>
    </row>
    <row r="143">
      <c r="A143" s="66" t="s">
        <v>104</v>
      </c>
      <c r="B143" s="106" t="s">
        <v>105</v>
      </c>
      <c r="C143" s="66" t="s">
        <v>306</v>
      </c>
      <c r="D143" s="114" t="s">
        <v>61</v>
      </c>
      <c r="E143" s="66">
        <v>2014.0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2015.0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1478.0</v>
      </c>
    </row>
    <row r="146">
      <c r="A146" s="66" t="s">
        <v>89</v>
      </c>
      <c r="B146" s="106" t="s">
        <v>91</v>
      </c>
      <c r="D146" s="114" t="s">
        <v>61</v>
      </c>
      <c r="E146" s="66">
        <v>2010.0</v>
      </c>
      <c r="I146" s="66">
        <v>0.518</v>
      </c>
      <c r="L146" s="66">
        <v>0.479</v>
      </c>
      <c r="O146" s="66">
        <v>0.516</v>
      </c>
      <c r="AG146" s="66">
        <v>1.3442</v>
      </c>
      <c r="AH146" s="66">
        <v>0.643</v>
      </c>
    </row>
    <row r="147">
      <c r="A147" s="66" t="s">
        <v>89</v>
      </c>
      <c r="B147" s="106" t="s">
        <v>113</v>
      </c>
      <c r="D147" s="114" t="s">
        <v>61</v>
      </c>
      <c r="E147" s="66">
        <v>2009.0</v>
      </c>
      <c r="I147" s="66">
        <v>1.18</v>
      </c>
      <c r="J147" s="66">
        <v>0.7187</v>
      </c>
      <c r="L147" s="66">
        <v>1.12</v>
      </c>
      <c r="M147" s="66">
        <v>0.9085</v>
      </c>
      <c r="O147" s="66">
        <v>1.07</v>
      </c>
      <c r="P147" s="131">
        <v>12544.0</v>
      </c>
      <c r="AG147" s="66">
        <v>0.3815</v>
      </c>
      <c r="AH147" s="66">
        <v>0.161</v>
      </c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44655.0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1.708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3.043</v>
      </c>
      <c r="L82" s="66">
        <v>1.746</v>
      </c>
      <c r="O82" s="66">
        <v>1.963</v>
      </c>
      <c r="AK82" s="66">
        <v>0.1448</v>
      </c>
      <c r="AL82" s="66">
        <v>0.0841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0.405</v>
      </c>
      <c r="L113" s="66">
        <v>0.284</v>
      </c>
      <c r="O113" s="66">
        <v>0.393</v>
      </c>
      <c r="R113" s="66">
        <v>0.475</v>
      </c>
      <c r="AG113" s="66">
        <v>3.1083</v>
      </c>
      <c r="AH113" s="66">
        <v>1.5441</v>
      </c>
      <c r="AJ113" s="66">
        <v>2.4</v>
      </c>
      <c r="AK113" s="66">
        <v>0.4669</v>
      </c>
      <c r="AL113" s="66">
        <v>0.2606</v>
      </c>
      <c r="AM113" s="66">
        <v>2.35</v>
      </c>
      <c r="AN113" s="66">
        <v>0.5966</v>
      </c>
      <c r="AO113" s="66">
        <v>0.327</v>
      </c>
      <c r="AP113" s="66">
        <v>2.4</v>
      </c>
      <c r="AQ113" s="66">
        <v>0.2353</v>
      </c>
      <c r="AR113" s="66">
        <v>0.1331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0.428</v>
      </c>
      <c r="L114" s="66">
        <v>0.431</v>
      </c>
      <c r="AG114" s="66">
        <v>1.7037</v>
      </c>
      <c r="AH114" s="66">
        <v>0.8365</v>
      </c>
      <c r="AJ114" s="66">
        <v>2.1</v>
      </c>
      <c r="AK114" s="66">
        <v>0.2038</v>
      </c>
      <c r="AL114" s="66">
        <v>0.1104</v>
      </c>
      <c r="AM114" s="66">
        <v>2.15</v>
      </c>
      <c r="AN114" s="66">
        <v>0.2554</v>
      </c>
      <c r="AO114" s="66">
        <v>0.1379</v>
      </c>
      <c r="AP114" s="66">
        <v>2.15</v>
      </c>
      <c r="AQ114" s="66">
        <v>0.3162</v>
      </c>
      <c r="AR114" s="66">
        <v>0.17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0.509</v>
      </c>
      <c r="L115" s="66">
        <v>0.592</v>
      </c>
      <c r="O115" s="66">
        <v>0.521</v>
      </c>
      <c r="AG115" s="66">
        <v>3.7179</v>
      </c>
      <c r="AH115" s="66">
        <v>1.9004</v>
      </c>
      <c r="AJ115" s="66">
        <v>2.1</v>
      </c>
      <c r="AK115" s="66">
        <v>0.1726</v>
      </c>
      <c r="AL115" s="66">
        <v>0.095</v>
      </c>
      <c r="AM115" s="66">
        <v>2.1</v>
      </c>
      <c r="AN115" s="66">
        <v>0.16</v>
      </c>
      <c r="AO115" s="66">
        <v>0.088</v>
      </c>
      <c r="AP115" s="66">
        <v>2.2</v>
      </c>
      <c r="AQ115" s="66">
        <v>0.1238</v>
      </c>
      <c r="AR115" s="66">
        <v>0.068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0.4</v>
      </c>
      <c r="L116" s="66">
        <v>0.271</v>
      </c>
      <c r="O116" s="66">
        <v>0.376</v>
      </c>
      <c r="R116" s="66">
        <v>0.42</v>
      </c>
      <c r="AG116" s="66">
        <v>2.8554</v>
      </c>
      <c r="AH116" s="66">
        <v>1.5258</v>
      </c>
      <c r="AJ116" s="66">
        <v>2.1</v>
      </c>
      <c r="AK116" s="66">
        <v>0.3206</v>
      </c>
      <c r="AL116" s="66">
        <v>0.183</v>
      </c>
      <c r="AM116" s="66">
        <v>2.1</v>
      </c>
      <c r="AN116" s="66">
        <v>0.2356</v>
      </c>
      <c r="AO116" s="66">
        <v>0.131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0.088</v>
      </c>
      <c r="L117" s="66">
        <v>0.09</v>
      </c>
      <c r="O117" s="66">
        <v>0.091</v>
      </c>
      <c r="R117" s="66">
        <v>0.18</v>
      </c>
      <c r="U117" s="66">
        <v>0.6</v>
      </c>
      <c r="X117" s="66"/>
      <c r="AA117" s="66"/>
      <c r="AG117" s="66">
        <v>1.6631</v>
      </c>
      <c r="AH117" s="66">
        <v>0.6341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I118" s="66">
        <v>0.904</v>
      </c>
      <c r="L118" s="66">
        <v>0.8</v>
      </c>
      <c r="O118" s="66">
        <v>0.944</v>
      </c>
      <c r="R118" s="66">
        <v>0.82</v>
      </c>
      <c r="U118" s="66">
        <v>0.826</v>
      </c>
      <c r="X118" s="66">
        <v>0.831</v>
      </c>
      <c r="AA118" s="66">
        <v>0.862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AJ119" s="66">
        <v>1.45</v>
      </c>
      <c r="AK119" s="66">
        <v>0.2033</v>
      </c>
      <c r="AM119" s="66">
        <v>1.45</v>
      </c>
      <c r="BE119" s="66">
        <v>0.0946</v>
      </c>
      <c r="BF119" s="66">
        <v>0.044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0.584</v>
      </c>
      <c r="L120" s="66">
        <v>0.443</v>
      </c>
      <c r="O120" s="66">
        <v>0.716</v>
      </c>
      <c r="R120" s="66">
        <v>0.992</v>
      </c>
      <c r="U120" s="66">
        <v>0.445</v>
      </c>
      <c r="X120" s="66"/>
      <c r="AA120" s="66"/>
      <c r="AD120" s="66"/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0.383</v>
      </c>
      <c r="L121" s="66">
        <v>0.592</v>
      </c>
      <c r="O121" s="66">
        <v>0.571</v>
      </c>
      <c r="R121" s="66">
        <v>0.65</v>
      </c>
      <c r="U121" s="66">
        <v>0.62</v>
      </c>
      <c r="X121" s="66">
        <v>0.718</v>
      </c>
      <c r="AA121" s="66">
        <v>0.428</v>
      </c>
      <c r="AD121" s="66">
        <v>0.608</v>
      </c>
      <c r="AJ121" s="132"/>
      <c r="AK121" s="133">
        <v>0.4501</v>
      </c>
      <c r="AL121" s="133">
        <v>0.195</v>
      </c>
      <c r="AM121" s="132"/>
      <c r="AN121" s="133">
        <v>0.3369</v>
      </c>
      <c r="AO121" s="133">
        <v>0.13</v>
      </c>
      <c r="AP121" s="132"/>
      <c r="AQ121" s="133">
        <v>0.4701</v>
      </c>
      <c r="AR121" s="133">
        <v>0.194</v>
      </c>
      <c r="AS121" s="132"/>
      <c r="AT121" s="133">
        <v>0.3753</v>
      </c>
      <c r="AU121" s="133">
        <v>0.153</v>
      </c>
      <c r="AV121" s="132"/>
      <c r="AW121" s="133">
        <v>0.5224</v>
      </c>
      <c r="AX121" s="133">
        <v>0.23</v>
      </c>
      <c r="AY121" s="132"/>
      <c r="AZ121" s="133">
        <v>0.2636</v>
      </c>
      <c r="BA121" s="133">
        <v>0.0969</v>
      </c>
      <c r="BB121" s="132"/>
      <c r="BC121" s="133">
        <v>0.3076</v>
      </c>
      <c r="BD121" s="133">
        <v>0.1254</v>
      </c>
      <c r="BE121" s="132"/>
      <c r="BH121" s="66" t="s">
        <v>358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0.108</v>
      </c>
      <c r="L122" s="66">
        <v>0.325</v>
      </c>
      <c r="O122" s="66">
        <v>0.448</v>
      </c>
      <c r="R122" s="66">
        <v>0.582</v>
      </c>
      <c r="U122" s="66">
        <v>0.742</v>
      </c>
      <c r="X122" s="66">
        <v>0.568</v>
      </c>
      <c r="AA122" s="66">
        <v>0.248</v>
      </c>
      <c r="AD122" s="66">
        <v>0.343</v>
      </c>
      <c r="AJ122" s="132"/>
      <c r="AK122" s="133">
        <v>0.4942</v>
      </c>
      <c r="AL122" s="133">
        <v>0.192</v>
      </c>
      <c r="AM122" s="132"/>
      <c r="AN122" s="133">
        <v>0.3831</v>
      </c>
      <c r="AO122" s="133">
        <v>0.143</v>
      </c>
      <c r="AP122" s="132"/>
      <c r="AQ122" s="133">
        <v>0.4603</v>
      </c>
      <c r="AR122" s="133">
        <v>0.183</v>
      </c>
      <c r="AS122" s="132"/>
      <c r="AT122" s="133">
        <v>0.509</v>
      </c>
      <c r="AU122" s="133">
        <v>0.202</v>
      </c>
      <c r="AV122" s="132"/>
      <c r="AW122" s="133">
        <v>0.4314</v>
      </c>
      <c r="AX122" s="133">
        <v>0.178</v>
      </c>
      <c r="AY122" s="132"/>
      <c r="AZ122" s="133">
        <v>0.495</v>
      </c>
      <c r="BA122" s="133">
        <v>0.202</v>
      </c>
      <c r="BB122" s="132"/>
      <c r="BC122" s="133">
        <v>0.3649</v>
      </c>
      <c r="BD122" s="133">
        <v>0.118</v>
      </c>
      <c r="BE122" s="132"/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I123" s="66">
        <v>0.196</v>
      </c>
      <c r="L123" s="66">
        <v>0.111</v>
      </c>
      <c r="O123" s="66">
        <v>0.15</v>
      </c>
      <c r="R123" s="66">
        <v>0.16</v>
      </c>
      <c r="AG123" s="66">
        <v>2.9691</v>
      </c>
      <c r="AH123" s="66">
        <v>1.8387</v>
      </c>
      <c r="AJ123" s="132"/>
      <c r="AK123" s="133">
        <v>0.2072</v>
      </c>
      <c r="AL123" s="133">
        <v>0.131</v>
      </c>
      <c r="AM123" s="132"/>
      <c r="AN123" s="133">
        <v>0.2947</v>
      </c>
      <c r="AO123" s="133">
        <v>0.189</v>
      </c>
      <c r="AP123" s="132"/>
      <c r="AQ123" s="133">
        <v>0.2476</v>
      </c>
      <c r="AR123" s="133">
        <v>0.1572</v>
      </c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I124" s="66">
        <v>0.108</v>
      </c>
      <c r="L124" s="66">
        <v>0.114</v>
      </c>
      <c r="O124" s="66">
        <v>0.106</v>
      </c>
      <c r="AG124" s="66">
        <v>3.1573</v>
      </c>
      <c r="AH124" s="66">
        <v>1.9078</v>
      </c>
      <c r="AJ124" s="132"/>
      <c r="AK124" s="133">
        <v>0.2563</v>
      </c>
      <c r="AL124" s="133">
        <v>0.1598</v>
      </c>
      <c r="AM124" s="132"/>
      <c r="AN124" s="133">
        <v>0.2228</v>
      </c>
      <c r="AO124" s="133">
        <v>0.1357</v>
      </c>
      <c r="AP124" s="132"/>
      <c r="AQ124" s="133">
        <v>0.2347</v>
      </c>
      <c r="AR124" s="133">
        <v>0.1475</v>
      </c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I125" s="66">
        <v>0.105</v>
      </c>
      <c r="L125" s="66">
        <v>0.15</v>
      </c>
      <c r="O125" s="66">
        <v>0.128</v>
      </c>
      <c r="R125" s="66">
        <v>0.133</v>
      </c>
      <c r="AG125" s="66">
        <v>2.7202</v>
      </c>
      <c r="AH125" s="66">
        <v>1.661</v>
      </c>
      <c r="AJ125" s="132"/>
      <c r="AK125" s="133">
        <v>0.1581</v>
      </c>
      <c r="AL125" s="133">
        <v>0.0977</v>
      </c>
      <c r="AM125" s="132"/>
      <c r="AN125" s="133">
        <v>0.3005</v>
      </c>
      <c r="AO125" s="133">
        <v>0.1922</v>
      </c>
      <c r="AP125" s="132"/>
      <c r="AQ125" s="133">
        <v>0.2013</v>
      </c>
      <c r="AR125" s="133">
        <v>0.128</v>
      </c>
      <c r="AS125" s="132"/>
      <c r="AT125" s="133">
        <v>0.1564</v>
      </c>
      <c r="AU125" s="133">
        <v>0.0969</v>
      </c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I126" s="66">
        <v>0.956</v>
      </c>
      <c r="L126" s="66">
        <v>0.816</v>
      </c>
      <c r="O126" s="66">
        <v>0.852</v>
      </c>
      <c r="AG126" s="66">
        <v>3.8915</v>
      </c>
      <c r="AH126" s="66">
        <v>1.5882</v>
      </c>
      <c r="AJ126" s="132"/>
      <c r="AK126" s="133">
        <v>0.245</v>
      </c>
      <c r="AL126" s="133">
        <v>0.1151</v>
      </c>
      <c r="AM126" s="132"/>
      <c r="AN126" s="133">
        <v>0.1749</v>
      </c>
      <c r="AO126" s="133">
        <v>0.0802</v>
      </c>
      <c r="AP126" s="132"/>
      <c r="AQ126" s="133">
        <v>0.1308</v>
      </c>
      <c r="AR126" s="133">
        <v>0.0548</v>
      </c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I127" s="66">
        <v>0.271</v>
      </c>
      <c r="L127" s="66">
        <v>0.25</v>
      </c>
      <c r="O127" s="66">
        <v>0.15</v>
      </c>
      <c r="R127" s="66">
        <v>0.27</v>
      </c>
      <c r="U127" s="66">
        <v>0.16</v>
      </c>
      <c r="AG127" s="66">
        <v>3.1378</v>
      </c>
      <c r="AH127" s="66">
        <v>1.8996</v>
      </c>
      <c r="AJ127" s="132"/>
      <c r="AK127" s="133">
        <v>0.3085</v>
      </c>
      <c r="AL127" s="133">
        <v>0.2047</v>
      </c>
      <c r="AM127" s="132"/>
      <c r="AN127" s="133">
        <v>0.296</v>
      </c>
      <c r="AO127" s="133">
        <v>0.1837</v>
      </c>
      <c r="AP127" s="132"/>
      <c r="AQ127" s="133">
        <v>0.2918</v>
      </c>
      <c r="AR127" s="133">
        <v>0.1853</v>
      </c>
      <c r="AS127" s="132"/>
      <c r="AT127" s="133">
        <v>0.3522</v>
      </c>
      <c r="AU127" s="133">
        <v>0.2239</v>
      </c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I128" s="66">
        <v>0.194</v>
      </c>
      <c r="L128" s="66">
        <v>0.208</v>
      </c>
      <c r="O128" s="66">
        <v>0.219</v>
      </c>
      <c r="R128" s="66">
        <v>0.183</v>
      </c>
      <c r="AJ128" s="132"/>
      <c r="AK128" s="133">
        <v>0.1174</v>
      </c>
      <c r="AL128" s="133">
        <v>0.055</v>
      </c>
      <c r="AM128" s="132"/>
      <c r="AN128" s="133">
        <v>0.1172</v>
      </c>
      <c r="AO128" s="133">
        <v>0.057</v>
      </c>
      <c r="AP128" s="132"/>
      <c r="AQ128" s="133">
        <v>0.0981</v>
      </c>
      <c r="AR128" s="133">
        <v>0.044</v>
      </c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I129" s="66">
        <v>0.598</v>
      </c>
      <c r="L129" s="66">
        <v>0.74</v>
      </c>
      <c r="O129" s="66">
        <v>0.513</v>
      </c>
      <c r="AG129" s="66">
        <v>0.5595</v>
      </c>
      <c r="AH129" s="66">
        <v>0.1986</v>
      </c>
      <c r="AJ129" s="132"/>
      <c r="AK129" s="133">
        <v>0.1126</v>
      </c>
      <c r="AL129" s="133">
        <v>0.048</v>
      </c>
      <c r="AM129" s="132"/>
      <c r="AN129" s="133">
        <v>0.093</v>
      </c>
      <c r="AO129" s="133">
        <v>0.037</v>
      </c>
      <c r="AP129" s="132"/>
      <c r="AQ129" s="133">
        <v>0.2112</v>
      </c>
      <c r="AR129" s="133">
        <v>0.091</v>
      </c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I130" s="66">
        <v>0.888</v>
      </c>
      <c r="L130" s="66">
        <v>0.625</v>
      </c>
      <c r="O130" s="66">
        <v>0.756</v>
      </c>
      <c r="AG130" s="66">
        <v>0.7398</v>
      </c>
      <c r="AH130" s="66">
        <v>0.262</v>
      </c>
      <c r="AJ130" s="133">
        <v>1.4</v>
      </c>
      <c r="AK130" s="133">
        <v>0.1492</v>
      </c>
      <c r="AL130" s="133">
        <v>0.058</v>
      </c>
      <c r="AM130" s="133">
        <v>0.8</v>
      </c>
      <c r="AN130" s="133">
        <v>0.1407</v>
      </c>
      <c r="AO130" s="133">
        <v>0.052</v>
      </c>
      <c r="AP130" s="133">
        <v>0.75</v>
      </c>
      <c r="AQ130" s="133">
        <v>0.105</v>
      </c>
      <c r="AR130" s="133">
        <v>0.038</v>
      </c>
      <c r="AS130" s="133">
        <v>0.5</v>
      </c>
      <c r="AT130" s="133">
        <v>0.1181</v>
      </c>
      <c r="AU130" s="133">
        <v>0.044</v>
      </c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I131" s="66">
        <v>0.418</v>
      </c>
      <c r="L131" s="66">
        <v>0.605</v>
      </c>
      <c r="O131" s="66">
        <v>0.531</v>
      </c>
      <c r="AG131" s="66">
        <v>2.5739</v>
      </c>
      <c r="AH131" s="66">
        <v>0.9706</v>
      </c>
      <c r="AJ131" s="132"/>
      <c r="AK131" s="66">
        <v>0.1238</v>
      </c>
      <c r="AL131" s="66">
        <v>0.049</v>
      </c>
      <c r="AM131" s="66"/>
      <c r="AN131" s="66">
        <v>0.1067</v>
      </c>
      <c r="AO131" s="66">
        <v>0.043</v>
      </c>
      <c r="AP131" s="66"/>
      <c r="AQ131" s="66">
        <v>0.102</v>
      </c>
      <c r="AR131" s="66">
        <v>0.041</v>
      </c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H131" s="66" t="s">
        <v>359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0.415</v>
      </c>
      <c r="L132" s="66">
        <v>0.487</v>
      </c>
      <c r="O132" s="66">
        <v>0.998</v>
      </c>
      <c r="R132" s="66">
        <v>0.845</v>
      </c>
      <c r="AG132" s="66">
        <v>0.6568</v>
      </c>
      <c r="AH132" s="66">
        <v>0.3191</v>
      </c>
      <c r="AJ132" s="66">
        <v>2.3</v>
      </c>
      <c r="AK132" s="66">
        <v>0.1324</v>
      </c>
      <c r="AL132" s="66">
        <v>0.073</v>
      </c>
      <c r="AM132" s="66">
        <v>2.4</v>
      </c>
      <c r="AN132" s="66">
        <v>0.137</v>
      </c>
      <c r="AO132" s="66">
        <v>0.076</v>
      </c>
      <c r="AP132" s="66">
        <v>2.6</v>
      </c>
      <c r="AQ132" s="66">
        <v>0.1466</v>
      </c>
      <c r="AR132" s="66">
        <v>0.082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0.108</v>
      </c>
      <c r="L133" s="66">
        <v>0.138</v>
      </c>
      <c r="O133" s="66">
        <v>0.108</v>
      </c>
      <c r="R133" s="66">
        <v>0.279</v>
      </c>
      <c r="U133" s="66">
        <v>0.208</v>
      </c>
      <c r="AG133" s="66">
        <v>1.9611</v>
      </c>
      <c r="AH133" s="66">
        <v>0.9776</v>
      </c>
      <c r="AJ133" s="66">
        <v>2.95</v>
      </c>
      <c r="AK133" s="66">
        <v>0.0868</v>
      </c>
      <c r="AL133" s="66">
        <v>0.049</v>
      </c>
      <c r="AM133" s="66">
        <v>2.8</v>
      </c>
      <c r="AN133" s="66">
        <v>0.0846</v>
      </c>
      <c r="AO133" s="66">
        <v>0.048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0.278</v>
      </c>
      <c r="L134" s="66">
        <v>0.147</v>
      </c>
      <c r="O134" s="66">
        <v>0.17</v>
      </c>
      <c r="R134" s="66">
        <v>0.156</v>
      </c>
      <c r="AG134" s="66">
        <v>2.7532</v>
      </c>
      <c r="AH134" s="66">
        <v>1.548</v>
      </c>
      <c r="AK134" s="66">
        <v>0.3754</v>
      </c>
      <c r="AL134" s="66">
        <v>0.242</v>
      </c>
      <c r="AN134" s="66">
        <v>0.288</v>
      </c>
      <c r="AO134" s="66">
        <v>0.165</v>
      </c>
      <c r="AQ134" s="66">
        <v>0.2267</v>
      </c>
      <c r="AR134" s="66">
        <v>0.131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0.396</v>
      </c>
      <c r="L135" s="66">
        <v>0.503</v>
      </c>
      <c r="O135" s="66">
        <v>0.318</v>
      </c>
      <c r="R135" s="66">
        <v>0.178</v>
      </c>
      <c r="U135" s="66">
        <v>0.22</v>
      </c>
      <c r="AG135" s="66">
        <v>2.8525</v>
      </c>
      <c r="AH135" s="66">
        <v>1.6865</v>
      </c>
      <c r="AK135" s="66">
        <v>0.6</v>
      </c>
      <c r="AL135" s="66">
        <v>0.3757</v>
      </c>
      <c r="AN135" s="66">
        <v>0.2767</v>
      </c>
      <c r="AO135" s="66">
        <v>0.152</v>
      </c>
      <c r="AQ135" s="66">
        <v>0.3721</v>
      </c>
      <c r="AR135" s="66">
        <v>0.2081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0.405</v>
      </c>
      <c r="O136" s="66">
        <v>0.445</v>
      </c>
      <c r="R136" s="66">
        <v>0.389</v>
      </c>
      <c r="AG136" s="66">
        <v>2.3724</v>
      </c>
      <c r="AH136" s="66">
        <v>1.0732</v>
      </c>
      <c r="AJ136" s="66">
        <v>2.2</v>
      </c>
      <c r="AK136" s="66">
        <v>0.1747</v>
      </c>
      <c r="AL136" s="66">
        <v>0.095</v>
      </c>
      <c r="AM136" s="66">
        <v>2.3</v>
      </c>
      <c r="AN136" s="66">
        <v>0.1979</v>
      </c>
      <c r="AO136" s="66">
        <v>0.107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0.101</v>
      </c>
      <c r="L137" s="66">
        <v>0.05</v>
      </c>
      <c r="O137" s="66">
        <v>0.12</v>
      </c>
      <c r="R137" s="66">
        <v>0.113</v>
      </c>
      <c r="U137" s="66">
        <v>0.144</v>
      </c>
      <c r="AG137" s="66">
        <v>1.9108</v>
      </c>
      <c r="AH137" s="66">
        <v>0.9866</v>
      </c>
      <c r="AK137" s="66">
        <v>0.0752</v>
      </c>
      <c r="AL137" s="66">
        <v>0.041</v>
      </c>
      <c r="AN137" s="66">
        <v>0.0533</v>
      </c>
      <c r="AO137" s="66">
        <v>0.029</v>
      </c>
      <c r="AQ137" s="66">
        <v>0.0821</v>
      </c>
      <c r="AR137" s="66">
        <v>0.046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I138" s="66">
        <v>0.508</v>
      </c>
      <c r="L138" s="66">
        <v>0.475</v>
      </c>
      <c r="O138" s="66">
        <v>0.424</v>
      </c>
      <c r="R138" s="66">
        <v>0.391</v>
      </c>
      <c r="U138" s="66">
        <v>0.394</v>
      </c>
      <c r="AJ138" s="66">
        <v>2.3</v>
      </c>
      <c r="AK138" s="66">
        <v>0.1134</v>
      </c>
      <c r="AL138" s="66">
        <v>0.065</v>
      </c>
      <c r="AM138" s="66">
        <v>3.5</v>
      </c>
      <c r="AN138" s="66">
        <v>0.1009</v>
      </c>
      <c r="AO138" s="66">
        <v>0.059</v>
      </c>
      <c r="AP138" s="66">
        <v>2.5</v>
      </c>
      <c r="AQ138" s="66">
        <v>0.0888</v>
      </c>
      <c r="AR138" s="66">
        <v>0.051</v>
      </c>
      <c r="AS138" s="66">
        <v>2.1</v>
      </c>
      <c r="AT138" s="66">
        <v>0.0929</v>
      </c>
      <c r="AU138" s="66">
        <v>0.054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I139" s="66">
        <v>0.608</v>
      </c>
      <c r="L139" s="66">
        <v>0.528</v>
      </c>
      <c r="O139" s="66">
        <v>0.582</v>
      </c>
      <c r="AG139" s="66">
        <v>2.3895</v>
      </c>
      <c r="AH139" s="66">
        <v>1.1726</v>
      </c>
      <c r="AK139" s="66">
        <v>0.0886</v>
      </c>
      <c r="AL139" s="66">
        <v>0.049</v>
      </c>
      <c r="AN139" s="66">
        <v>0.1187</v>
      </c>
      <c r="AO139" s="66">
        <v>0.068</v>
      </c>
      <c r="AQ139" s="66">
        <v>0.1671</v>
      </c>
      <c r="AR139" s="66">
        <v>0.093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I140" s="66">
        <v>0.475</v>
      </c>
      <c r="L140" s="66">
        <v>0.688</v>
      </c>
      <c r="O140" s="66">
        <v>0.428</v>
      </c>
      <c r="R140" s="66">
        <v>0.556</v>
      </c>
      <c r="AG140" s="66">
        <v>2.0868</v>
      </c>
      <c r="AH140" s="66">
        <v>1.1283</v>
      </c>
      <c r="AK140" s="66">
        <v>0.1538</v>
      </c>
      <c r="AL140" s="66">
        <v>0.091</v>
      </c>
      <c r="AN140" s="66">
        <v>0.2288</v>
      </c>
      <c r="AO140" s="66">
        <v>0.132</v>
      </c>
      <c r="AQ140" s="66">
        <v>0.2081</v>
      </c>
      <c r="AR140" s="66">
        <v>0.121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I141" s="66">
        <v>0.158</v>
      </c>
      <c r="L141" s="66">
        <v>0.215</v>
      </c>
      <c r="O141" s="66">
        <v>0.218</v>
      </c>
      <c r="R141" s="66">
        <v>0.324</v>
      </c>
      <c r="U141" s="66">
        <v>0.258</v>
      </c>
      <c r="AG141" s="66">
        <v>1.7183</v>
      </c>
      <c r="AH141" s="66">
        <v>0.8785</v>
      </c>
      <c r="AK141" s="66">
        <v>0.3118</v>
      </c>
      <c r="AL141" s="66">
        <v>0.179</v>
      </c>
      <c r="AN141" s="66">
        <v>0.3185</v>
      </c>
      <c r="AO141" s="66">
        <v>0.175</v>
      </c>
      <c r="AQ141" s="66">
        <v>0.3252</v>
      </c>
      <c r="AR141" s="66">
        <v>0.179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I142" s="66">
        <v>0.065</v>
      </c>
      <c r="L142" s="66">
        <v>0.222</v>
      </c>
      <c r="O142" s="66">
        <v>0.268</v>
      </c>
      <c r="R142" s="66">
        <v>0.18</v>
      </c>
      <c r="U142" s="66">
        <v>0.208</v>
      </c>
      <c r="AG142" s="66">
        <v>2.6676</v>
      </c>
      <c r="AH142" s="66">
        <v>1.4601</v>
      </c>
      <c r="AK142" s="66">
        <v>0.1837</v>
      </c>
      <c r="AL142" s="66">
        <v>0.105</v>
      </c>
      <c r="AN142" s="66">
        <v>0.3101</v>
      </c>
      <c r="AO142" s="66">
        <v>0.178</v>
      </c>
      <c r="AQ142" s="66">
        <v>0.3095</v>
      </c>
      <c r="AR142" s="66">
        <v>0.179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I143" s="66">
        <v>0.212</v>
      </c>
      <c r="L143" s="66">
        <v>0.188</v>
      </c>
      <c r="O143" s="66">
        <v>0.328</v>
      </c>
      <c r="R143" s="66">
        <v>0.248</v>
      </c>
      <c r="AG143" s="66">
        <v>1.6819</v>
      </c>
      <c r="AH143" s="66">
        <v>0.8576</v>
      </c>
      <c r="AN143" s="66">
        <v>0.1399</v>
      </c>
      <c r="AO143" s="66">
        <v>0.0811</v>
      </c>
      <c r="AQ143" s="66">
        <v>0.1792</v>
      </c>
      <c r="AR143" s="66">
        <v>0.1024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I144" s="66">
        <v>0.365</v>
      </c>
      <c r="L144" s="66">
        <v>0.234</v>
      </c>
      <c r="O144" s="66">
        <v>0.626</v>
      </c>
      <c r="R144" s="66">
        <v>0.68</v>
      </c>
      <c r="U144" s="66">
        <v>0.62</v>
      </c>
      <c r="AG144" s="66">
        <v>4.49</v>
      </c>
      <c r="AH144" s="66">
        <v>1.6767</v>
      </c>
      <c r="AK144" s="66">
        <v>0.1166</v>
      </c>
      <c r="AL144" s="66">
        <v>0.048</v>
      </c>
      <c r="AN144" s="66">
        <v>0.1076</v>
      </c>
      <c r="AO144" s="66">
        <v>0.045</v>
      </c>
      <c r="AQ144" s="66">
        <v>0.3727</v>
      </c>
      <c r="AR144" s="66">
        <v>0.159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I145" s="66">
        <v>0.718</v>
      </c>
      <c r="L145" s="66">
        <v>0.554</v>
      </c>
      <c r="O145" s="66">
        <v>0.628</v>
      </c>
      <c r="R145" s="66">
        <v>0.886</v>
      </c>
      <c r="U145" s="66">
        <v>0.836</v>
      </c>
      <c r="AG145" s="66">
        <v>2.2227</v>
      </c>
      <c r="AH145" s="66">
        <v>0.8661</v>
      </c>
      <c r="AJ145" s="66">
        <v>1.45</v>
      </c>
      <c r="AK145" s="66">
        <v>0.1002</v>
      </c>
      <c r="AL145" s="66">
        <v>0.047</v>
      </c>
      <c r="AM145" s="66">
        <v>1.55</v>
      </c>
      <c r="AN145" s="66">
        <v>0.1381</v>
      </c>
      <c r="AO145" s="66">
        <v>0.059</v>
      </c>
      <c r="AP145" s="66">
        <v>1.8</v>
      </c>
      <c r="AQ145" s="66">
        <v>0.0653</v>
      </c>
      <c r="AR145" s="66">
        <v>0.027</v>
      </c>
      <c r="AT145" s="66">
        <v>0.1529</v>
      </c>
      <c r="AU145" s="66">
        <v>0.066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  <c r="I146" s="66">
        <v>0.706</v>
      </c>
      <c r="L146" s="66">
        <v>1.156</v>
      </c>
      <c r="O146" s="66">
        <v>1.0</v>
      </c>
      <c r="R146" s="66">
        <v>0.355</v>
      </c>
      <c r="U146" s="66">
        <v>0.586</v>
      </c>
      <c r="X146" s="66">
        <v>0.919</v>
      </c>
      <c r="AG146" s="66">
        <v>2.1512</v>
      </c>
      <c r="AH146" s="66">
        <v>0.9051</v>
      </c>
      <c r="AJ146" s="66">
        <v>2.1</v>
      </c>
      <c r="AK146" s="66">
        <v>0.0774</v>
      </c>
      <c r="AL146" s="66">
        <v>0.0312</v>
      </c>
      <c r="AM146" s="66">
        <v>2.5</v>
      </c>
      <c r="AN146" s="66">
        <v>0.1362</v>
      </c>
      <c r="AO146" s="66">
        <v>0.065</v>
      </c>
      <c r="AP146" s="66">
        <v>2.8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I147" s="66">
        <v>0.498</v>
      </c>
      <c r="L147" s="66">
        <v>0.768</v>
      </c>
      <c r="O147" s="66">
        <v>0.587</v>
      </c>
      <c r="AG147" s="66">
        <v>1.8527</v>
      </c>
      <c r="AH147" s="66">
        <v>0.8252</v>
      </c>
      <c r="AK147" s="66">
        <v>0.5249</v>
      </c>
      <c r="AL147" s="66">
        <v>0.271</v>
      </c>
      <c r="AN147" s="66">
        <v>0.2876</v>
      </c>
      <c r="AO147" s="66">
        <v>0.148</v>
      </c>
      <c r="AQ147" s="66">
        <v>0.3881</v>
      </c>
      <c r="AR147" s="66">
        <v>0.201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I148" s="66">
        <v>0.878</v>
      </c>
      <c r="L148" s="66">
        <v>0.402</v>
      </c>
      <c r="O148" s="66">
        <v>0.768</v>
      </c>
      <c r="R148" s="66">
        <v>0.519</v>
      </c>
      <c r="U148" s="66">
        <v>0.29</v>
      </c>
      <c r="AG148" s="66">
        <v>2.285</v>
      </c>
      <c r="AH148" s="66">
        <v>0.8328</v>
      </c>
      <c r="AK148" s="66">
        <v>0.3916</v>
      </c>
      <c r="AL148" s="66">
        <v>0.151</v>
      </c>
      <c r="AN148" s="66">
        <v>0.5982</v>
      </c>
      <c r="AO148" s="66">
        <v>0.235</v>
      </c>
      <c r="AQ148" s="66">
        <v>0.3972</v>
      </c>
      <c r="AR148" s="66">
        <v>0.156</v>
      </c>
    </row>
    <row r="149">
      <c r="A149" s="66" t="s">
        <v>89</v>
      </c>
      <c r="B149" s="106" t="s">
        <v>91</v>
      </c>
      <c r="C149" s="96"/>
      <c r="D149" s="114" t="s">
        <v>61</v>
      </c>
      <c r="E149" s="97">
        <v>2011.0</v>
      </c>
      <c r="F149" s="96"/>
      <c r="G149" s="96"/>
      <c r="H149" s="96"/>
      <c r="I149" s="97">
        <v>1.05</v>
      </c>
      <c r="J149" s="96"/>
      <c r="K149" s="96"/>
      <c r="L149" s="97">
        <v>0.617</v>
      </c>
      <c r="M149" s="96"/>
      <c r="N149" s="96"/>
      <c r="O149" s="97">
        <v>0.902</v>
      </c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7">
        <v>0.925</v>
      </c>
      <c r="AH149" s="97">
        <v>0.4686</v>
      </c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I152" s="66">
        <v>0.698</v>
      </c>
      <c r="L152" s="66">
        <v>0.655</v>
      </c>
      <c r="AG152" s="66">
        <v>1.0186</v>
      </c>
      <c r="AH152" s="66">
        <v>0.5269</v>
      </c>
      <c r="AJ152" s="66">
        <v>1.8</v>
      </c>
      <c r="AK152" s="66">
        <v>0.1501</v>
      </c>
      <c r="AL152" s="66">
        <v>0.083</v>
      </c>
      <c r="AM152" s="66">
        <v>2.1</v>
      </c>
      <c r="AN152" s="66">
        <v>0.145</v>
      </c>
      <c r="AO152" s="66">
        <v>0.081</v>
      </c>
      <c r="AP152" s="66">
        <v>1.75</v>
      </c>
      <c r="AQ152" s="66">
        <v>0.0878</v>
      </c>
      <c r="AR152" s="66">
        <v>0.048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44657.0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K7" s="66">
        <v>0.2259</v>
      </c>
      <c r="AL7" s="66">
        <v>0.14</v>
      </c>
      <c r="AN7" s="66">
        <v>0.2303</v>
      </c>
      <c r="AO7" s="66">
        <v>0.144</v>
      </c>
      <c r="AQ7" s="66">
        <v>0.2281</v>
      </c>
      <c r="AR7" s="66">
        <v>0.146</v>
      </c>
      <c r="AT7" s="66">
        <v>0.1832</v>
      </c>
      <c r="AU7" s="66">
        <v>0.114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AJ8" s="66">
        <v>3.51</v>
      </c>
      <c r="AM8" s="66">
        <v>3.35</v>
      </c>
      <c r="AP8" s="66">
        <v>4.1</v>
      </c>
      <c r="AS8" s="66">
        <v>2.4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F9" s="66">
        <v>2.0</v>
      </c>
      <c r="G9" s="134">
        <v>44625.0</v>
      </c>
      <c r="AJ9" s="66">
        <v>3.55</v>
      </c>
      <c r="AK9" s="66">
        <v>0.1647</v>
      </c>
      <c r="AL9" s="66">
        <v>0.0836</v>
      </c>
      <c r="AM9" s="66">
        <v>4.3</v>
      </c>
      <c r="AN9" s="66">
        <v>0.2604</v>
      </c>
      <c r="AO9" s="66">
        <v>0.163</v>
      </c>
      <c r="AP9" s="66">
        <v>3.75</v>
      </c>
      <c r="AQ9" s="66">
        <v>0.2408</v>
      </c>
      <c r="AR9" s="66">
        <v>0.1226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66">
        <v>7.0</v>
      </c>
      <c r="G10" s="66">
        <v>9.0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66">
        <v>7.0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66">
        <v>10.0</v>
      </c>
      <c r="G13" s="66">
        <v>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66">
        <v>9.0</v>
      </c>
      <c r="G16" s="66">
        <v>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66">
        <v>10.0</v>
      </c>
      <c r="G18" s="66">
        <v>10.0</v>
      </c>
      <c r="AJ18" s="66">
        <v>3.0</v>
      </c>
      <c r="AK18" s="66">
        <v>0.1282</v>
      </c>
      <c r="AL18" s="66">
        <v>0.071</v>
      </c>
      <c r="AM18" s="66">
        <v>3.25</v>
      </c>
      <c r="AN18" s="66">
        <v>0.1446</v>
      </c>
      <c r="AO18" s="66">
        <v>0.078</v>
      </c>
      <c r="AP18" s="66">
        <v>3.15</v>
      </c>
      <c r="AQ18" s="66">
        <v>0.107</v>
      </c>
      <c r="AR18" s="66">
        <v>0.058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66">
        <v>10.0</v>
      </c>
      <c r="G19" s="66">
        <v>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66">
        <v>10.0</v>
      </c>
      <c r="G21" s="66">
        <v>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66">
        <v>10.0</v>
      </c>
      <c r="G22" s="66">
        <v>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66">
        <v>9.0</v>
      </c>
      <c r="G23" s="66">
        <v>10.0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9.0</v>
      </c>
      <c r="G24" s="66">
        <v>9.0</v>
      </c>
      <c r="AJ24" s="66">
        <v>2.45</v>
      </c>
      <c r="AK24" s="66">
        <v>0.0882</v>
      </c>
      <c r="AL24" s="66">
        <v>0.0459</v>
      </c>
      <c r="AM24" s="66">
        <v>2.35</v>
      </c>
      <c r="AN24" s="66">
        <v>0.1124</v>
      </c>
      <c r="AO24" s="66">
        <v>0.0587</v>
      </c>
      <c r="AP24" s="66">
        <v>2.4</v>
      </c>
      <c r="AQ24" s="66">
        <v>0.0965</v>
      </c>
      <c r="AR24" s="66">
        <v>0.0502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8.0</v>
      </c>
      <c r="G25" s="66">
        <v>9.0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9.0</v>
      </c>
      <c r="G27" s="66">
        <v>9.0</v>
      </c>
      <c r="AJ27" s="66">
        <v>2.25</v>
      </c>
      <c r="AK27" s="66">
        <v>0.077</v>
      </c>
      <c r="AL27" s="66">
        <v>0.039</v>
      </c>
      <c r="AM27" s="66">
        <v>2.25</v>
      </c>
      <c r="AN27" s="66">
        <v>0.1081</v>
      </c>
      <c r="AO27" s="66">
        <v>0.0564</v>
      </c>
      <c r="AP27" s="66"/>
      <c r="AQ27" s="66">
        <v>0.0956</v>
      </c>
      <c r="AR27" s="66">
        <v>0.0486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9.0</v>
      </c>
      <c r="G30" s="66">
        <v>9.0</v>
      </c>
      <c r="AJ30" s="66">
        <v>2.9</v>
      </c>
      <c r="AK30" s="66">
        <v>0.1531</v>
      </c>
      <c r="AL30" s="66">
        <v>0.0792</v>
      </c>
      <c r="AM30" s="66">
        <v>2.35</v>
      </c>
      <c r="AN30" s="66">
        <v>0.149</v>
      </c>
      <c r="AO30" s="66">
        <v>0.0746</v>
      </c>
      <c r="AP30" s="66">
        <v>2.65</v>
      </c>
      <c r="AQ30" s="66">
        <v>0.1161</v>
      </c>
      <c r="AR30" s="66">
        <v>0.0587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J31" s="66">
        <v>3.1</v>
      </c>
      <c r="AK31" s="66">
        <v>0.3031</v>
      </c>
      <c r="AL31" s="66">
        <v>0.1868</v>
      </c>
      <c r="AM31" s="66">
        <v>2.6</v>
      </c>
      <c r="AN31" s="66">
        <v>0.2282</v>
      </c>
      <c r="AO31" s="66">
        <v>0.14</v>
      </c>
      <c r="AP31" s="66">
        <v>2.7</v>
      </c>
      <c r="AQ31" s="66">
        <v>0.6152</v>
      </c>
      <c r="AR31" s="66">
        <v>0.3702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J32" s="66">
        <v>2.78</v>
      </c>
      <c r="AK32" s="66">
        <v>0.2096</v>
      </c>
      <c r="AL32" s="66">
        <v>0.126</v>
      </c>
      <c r="AM32" s="66">
        <v>2.85</v>
      </c>
      <c r="AN32" s="66">
        <v>0.2511</v>
      </c>
      <c r="AO32" s="66">
        <v>0.152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AJ33" s="66">
        <v>2.8</v>
      </c>
      <c r="AK33" s="66">
        <v>0.1536</v>
      </c>
      <c r="AL33" s="66">
        <v>0.081</v>
      </c>
      <c r="AM33" s="66">
        <v>2.95</v>
      </c>
      <c r="AN33" s="66">
        <v>0.1478</v>
      </c>
      <c r="AO33" s="66">
        <v>0.079</v>
      </c>
      <c r="AP33" s="66">
        <v>2.8</v>
      </c>
      <c r="AQ33" s="66">
        <v>0.1522</v>
      </c>
      <c r="AR33" s="66">
        <v>0.081</v>
      </c>
      <c r="AT33" s="66">
        <v>0.0901</v>
      </c>
      <c r="AU33" s="66">
        <v>0.0366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G34" s="66">
        <v>5.0</v>
      </c>
      <c r="AJ34" s="66">
        <v>2.55</v>
      </c>
      <c r="AK34" s="66">
        <v>0.1121</v>
      </c>
      <c r="AL34" s="66">
        <v>0.061</v>
      </c>
      <c r="AM34" s="66">
        <v>2.55</v>
      </c>
      <c r="AN34" s="66">
        <v>0.0882</v>
      </c>
      <c r="AO34" s="66">
        <v>0.047</v>
      </c>
      <c r="AQ34" s="66">
        <v>0.1804</v>
      </c>
      <c r="AR34" s="66">
        <v>0.0584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3.5</v>
      </c>
      <c r="AM35" s="66">
        <v>3.2</v>
      </c>
      <c r="AN35" s="66">
        <v>0.1778</v>
      </c>
      <c r="AO35" s="66">
        <v>0.115</v>
      </c>
      <c r="AP35" s="66">
        <v>2.9</v>
      </c>
      <c r="AQ35" s="66">
        <v>0.1411</v>
      </c>
      <c r="AR35" s="66">
        <v>0.0898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66">
        <v>6.0</v>
      </c>
      <c r="G36" s="66">
        <v>6.0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66">
        <v>6.0</v>
      </c>
      <c r="G37" s="66">
        <v>6.0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66">
        <v>5.0</v>
      </c>
      <c r="G38" s="66">
        <v>6.0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66">
        <v>4.0</v>
      </c>
      <c r="G39" s="66">
        <v>4.0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66">
        <v>5.0</v>
      </c>
      <c r="G40" s="66">
        <v>5.0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66">
        <v>5.0</v>
      </c>
      <c r="G41" s="66">
        <v>6.0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7.0</v>
      </c>
      <c r="G42" s="66">
        <v>7.0</v>
      </c>
      <c r="AJ42" s="66">
        <v>2.7</v>
      </c>
      <c r="AK42" s="66">
        <v>0.1376</v>
      </c>
      <c r="AL42" s="66">
        <v>0.0683</v>
      </c>
      <c r="AM42" s="66">
        <v>2.6</v>
      </c>
      <c r="AN42" s="66">
        <v>0.1671</v>
      </c>
      <c r="AO42" s="66">
        <v>0.0832</v>
      </c>
      <c r="AQ42" s="66">
        <v>0.1112</v>
      </c>
      <c r="AR42" s="66">
        <v>0.0533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F44" s="66">
        <v>5.0</v>
      </c>
      <c r="G44" s="66">
        <v>7.0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F46" s="66">
        <v>4.0</v>
      </c>
      <c r="G46" s="66">
        <v>5.0</v>
      </c>
      <c r="AJ46" s="66">
        <v>3.7</v>
      </c>
      <c r="AK46" s="66">
        <v>0.1991</v>
      </c>
      <c r="AL46" s="66">
        <v>0.1175</v>
      </c>
      <c r="AM46" s="66">
        <v>3.6</v>
      </c>
      <c r="AQ46" s="66">
        <v>0.1697</v>
      </c>
      <c r="AR46" s="66">
        <v>0.1023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66">
        <v>4.0</v>
      </c>
      <c r="G47" s="66">
        <v>5.0</v>
      </c>
      <c r="AJ47" s="66">
        <v>3.2</v>
      </c>
      <c r="AK47" s="66">
        <v>0.1064</v>
      </c>
      <c r="AL47" s="66">
        <v>0.0536</v>
      </c>
      <c r="AM47" s="66">
        <v>2.9</v>
      </c>
      <c r="AN47" s="66">
        <v>0.0703</v>
      </c>
      <c r="AO47" s="66">
        <v>0.0353</v>
      </c>
      <c r="AP47" s="66">
        <v>3.0</v>
      </c>
      <c r="AQ47" s="66">
        <v>0.082</v>
      </c>
      <c r="AR47" s="66">
        <v>0.0419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6.0</v>
      </c>
      <c r="G48" s="66">
        <v>7.0</v>
      </c>
      <c r="AJ48" s="66">
        <v>2.2</v>
      </c>
      <c r="AK48" s="66">
        <v>0.1326</v>
      </c>
      <c r="AL48" s="66">
        <v>0.0581</v>
      </c>
      <c r="AM48" s="66">
        <v>2.4</v>
      </c>
      <c r="AN48" s="66">
        <v>0.0823</v>
      </c>
      <c r="AO48" s="66">
        <v>0.0402</v>
      </c>
      <c r="AP48" s="66">
        <v>2.5</v>
      </c>
      <c r="AQ48" s="66">
        <v>0.1804</v>
      </c>
      <c r="AR48" s="66">
        <v>0.0872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66">
        <v>6.0</v>
      </c>
      <c r="G49" s="66">
        <v>7.0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6.0</v>
      </c>
      <c r="G50" s="66">
        <v>6.0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66">
        <v>4.0</v>
      </c>
      <c r="G51" s="66" t="s">
        <v>360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66">
        <v>5.0</v>
      </c>
      <c r="G52" s="66" t="s">
        <v>361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F53" s="66">
        <v>5.0</v>
      </c>
      <c r="G53" s="66" t="s">
        <v>362</v>
      </c>
      <c r="AJ53" s="66">
        <v>2.8</v>
      </c>
      <c r="AK53" s="66">
        <v>0.0837</v>
      </c>
      <c r="AL53" s="66">
        <v>0.0399</v>
      </c>
      <c r="AM53" s="66">
        <v>2.8</v>
      </c>
      <c r="AN53" s="66">
        <v>0.0979</v>
      </c>
      <c r="AO53" s="66">
        <v>0.048</v>
      </c>
      <c r="AP53" s="66"/>
      <c r="AQ53" s="66">
        <v>0.072</v>
      </c>
      <c r="AR53" s="66">
        <v>0.0341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G54" s="66">
        <v>7.0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G56" s="66">
        <v>6.0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G57" s="66">
        <v>7.0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66">
        <v>5.0</v>
      </c>
      <c r="G58" s="66">
        <v>5.0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F59" s="66">
        <v>5.0</v>
      </c>
      <c r="G59" s="66">
        <v>8.0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F60" s="66">
        <v>7.0</v>
      </c>
      <c r="G60" s="66">
        <v>7.0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66">
        <v>6.0</v>
      </c>
      <c r="G61" s="66" t="s">
        <v>363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66">
        <v>7.0</v>
      </c>
      <c r="G62" s="66" t="s">
        <v>363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66">
        <v>6.0</v>
      </c>
      <c r="G63" s="66" t="s">
        <v>363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F64" s="66">
        <v>8.0</v>
      </c>
      <c r="G64" s="66">
        <v>5.0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66">
        <v>7.0</v>
      </c>
      <c r="G65" s="66">
        <v>8.0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F66" s="66">
        <v>5.0</v>
      </c>
      <c r="G66" s="66">
        <v>6.0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F67" s="66">
        <v>0.0</v>
      </c>
      <c r="G67" s="66">
        <v>8.0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66" t="s">
        <v>361</v>
      </c>
      <c r="G68" s="66">
        <v>6.0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66">
        <v>7.0</v>
      </c>
      <c r="G69" s="66">
        <v>7.0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66">
        <v>7.0</v>
      </c>
      <c r="G70" s="66">
        <v>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66">
        <v>6.0</v>
      </c>
      <c r="G71" s="66" t="s">
        <v>363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F72" s="66">
        <v>7.0</v>
      </c>
      <c r="G72" s="66">
        <v>7.0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66">
        <v>7.0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66">
        <v>7.0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F75" s="66" t="s">
        <v>364</v>
      </c>
      <c r="G75" s="66" t="s">
        <v>365</v>
      </c>
      <c r="AJ75" s="66">
        <v>4.25</v>
      </c>
      <c r="AK75" s="66">
        <v>0.1823</v>
      </c>
      <c r="AL75" s="66">
        <v>0.1166</v>
      </c>
      <c r="AM75" s="66">
        <v>4.35</v>
      </c>
      <c r="AN75" s="66">
        <v>0.1925</v>
      </c>
      <c r="AO75" s="66">
        <v>0.123</v>
      </c>
      <c r="AP75" s="66">
        <v>4.4</v>
      </c>
      <c r="AQ75" s="66">
        <v>0.1681</v>
      </c>
      <c r="AR75" s="66">
        <v>0.1117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66">
        <v>7.0</v>
      </c>
      <c r="G76" s="66">
        <v>7.0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66">
        <v>4.0</v>
      </c>
      <c r="G77" s="66">
        <v>5.0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66">
        <v>4.0</v>
      </c>
      <c r="G78" s="66">
        <v>5.0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66">
        <v>4.0</v>
      </c>
      <c r="G79" s="66">
        <v>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66">
        <v>5.0</v>
      </c>
      <c r="G80" s="66">
        <v>6.0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F82" s="66" t="s">
        <v>361</v>
      </c>
      <c r="G82" s="66">
        <v>8.0</v>
      </c>
      <c r="AJ82" s="66">
        <v>4.0</v>
      </c>
      <c r="AK82" s="66">
        <v>0.2307</v>
      </c>
      <c r="AL82" s="66">
        <v>0.1438</v>
      </c>
      <c r="AM82" s="66">
        <v>3.7</v>
      </c>
      <c r="AN82" s="66">
        <v>0.3181</v>
      </c>
      <c r="AO82" s="66">
        <v>0.19</v>
      </c>
      <c r="AP82" s="66">
        <v>3.4</v>
      </c>
      <c r="AQ82" s="66">
        <v>0.2101</v>
      </c>
      <c r="AR82" s="66">
        <v>0.1287</v>
      </c>
      <c r="AS82" s="66">
        <v>2.85</v>
      </c>
      <c r="AT82" s="66">
        <v>0.272</v>
      </c>
      <c r="AU82" s="66">
        <v>0.1646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66">
        <v>4.0</v>
      </c>
      <c r="G83" s="66">
        <v>5.0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66">
        <v>3.0</v>
      </c>
      <c r="G84" s="66">
        <v>4.0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66">
        <v>2.0</v>
      </c>
      <c r="G85" s="66">
        <v>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66">
        <v>4.0</v>
      </c>
      <c r="G86" s="66">
        <v>6.0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66">
        <v>6.0</v>
      </c>
      <c r="G87" s="66">
        <v>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66">
        <v>7.0</v>
      </c>
      <c r="G88" s="66">
        <v>8.0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66">
        <v>3.0</v>
      </c>
      <c r="G89" s="66">
        <v>4.0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66">
        <v>4.0</v>
      </c>
      <c r="G90" s="66">
        <v>6.0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F91" s="66">
        <v>3.0</v>
      </c>
      <c r="G91" s="66">
        <v>4.0</v>
      </c>
      <c r="AK91" s="66">
        <v>0.161</v>
      </c>
      <c r="AL91" s="66">
        <v>0.0743</v>
      </c>
      <c r="AN91" s="66">
        <v>0.1585</v>
      </c>
      <c r="AO91" s="66">
        <v>0.078</v>
      </c>
      <c r="AP91" s="66">
        <v>3.1</v>
      </c>
      <c r="AQ91" s="66">
        <v>0.438</v>
      </c>
      <c r="AR91" s="66">
        <v>0.1962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F92" s="66">
        <v>5.0</v>
      </c>
      <c r="G92" s="66">
        <v>6.0</v>
      </c>
      <c r="AJ92" s="66">
        <v>2.7</v>
      </c>
      <c r="AK92" s="66">
        <v>0.0353</v>
      </c>
      <c r="AL92" s="66">
        <v>0.0163</v>
      </c>
      <c r="AM92" s="66">
        <v>2.6</v>
      </c>
      <c r="AN92" s="66">
        <v>0.0878</v>
      </c>
      <c r="AO92" s="66">
        <v>0.0372</v>
      </c>
      <c r="AP92" s="66"/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F93" s="66">
        <v>4.0</v>
      </c>
      <c r="G93" s="66">
        <v>5.0</v>
      </c>
      <c r="AJ93" s="66">
        <v>3.6</v>
      </c>
      <c r="AK93" s="66">
        <v>0.0846</v>
      </c>
      <c r="AL93" s="66">
        <v>0.0443</v>
      </c>
      <c r="AM93" s="66">
        <v>2.8</v>
      </c>
      <c r="AN93" s="66">
        <v>0.1088</v>
      </c>
      <c r="AO93" s="66">
        <v>0.0534</v>
      </c>
      <c r="AP93" s="66">
        <v>2.85</v>
      </c>
      <c r="AQ93" s="66">
        <v>0.1234</v>
      </c>
      <c r="AR93" s="66">
        <v>0.0627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F94" s="66">
        <v>5.0</v>
      </c>
      <c r="G94" s="66">
        <v>5.0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AJ107" s="66">
        <v>2.755</v>
      </c>
      <c r="AK107" s="66">
        <v>0.1421</v>
      </c>
      <c r="AL107" s="66">
        <v>0.078</v>
      </c>
      <c r="AM107" s="66">
        <v>3.5</v>
      </c>
      <c r="AN107" s="66">
        <v>0.1389</v>
      </c>
      <c r="AO107" s="66">
        <v>0.0755</v>
      </c>
      <c r="AP107" s="66">
        <v>2.65</v>
      </c>
      <c r="AQ107" s="66">
        <v>0.1126</v>
      </c>
      <c r="AR107" s="66">
        <v>0.0617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AJ110" s="66">
        <v>3.25</v>
      </c>
      <c r="AK110" s="66">
        <v>0.0994</v>
      </c>
      <c r="AL110" s="66">
        <v>0.0559</v>
      </c>
      <c r="AM110" s="66">
        <v>3.15</v>
      </c>
      <c r="AN110" s="66">
        <v>0.2013</v>
      </c>
      <c r="AO110" s="66">
        <v>0.1098</v>
      </c>
      <c r="AP110" s="66">
        <v>3.05</v>
      </c>
      <c r="AQ110" s="66">
        <v>0.0567</v>
      </c>
      <c r="AR110" s="66">
        <v>0.0327</v>
      </c>
      <c r="AS110" s="66"/>
      <c r="AT110" s="66">
        <v>0.0938</v>
      </c>
      <c r="AU110" s="66">
        <v>0.0512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AJ111" s="66">
        <v>2.45</v>
      </c>
      <c r="AK111" s="66">
        <v>0.126</v>
      </c>
      <c r="AL111" s="66">
        <v>0.0698</v>
      </c>
      <c r="AM111" s="66">
        <v>2.525</v>
      </c>
      <c r="AN111" s="66">
        <v>0.099</v>
      </c>
      <c r="AO111" s="66">
        <v>0.055</v>
      </c>
      <c r="AP111" s="66">
        <v>2.475</v>
      </c>
      <c r="AQ111" s="66">
        <v>0.1496</v>
      </c>
      <c r="AR111" s="66">
        <v>0.0823</v>
      </c>
      <c r="AS111" s="66">
        <v>3.4</v>
      </c>
      <c r="AT111" s="66">
        <v>0.1194</v>
      </c>
      <c r="AU111" s="66">
        <v>0.0638</v>
      </c>
      <c r="AV111" s="66">
        <v>2.7</v>
      </c>
      <c r="AW111" s="66">
        <v>0.1192</v>
      </c>
      <c r="AX111" s="66">
        <v>0.0633</v>
      </c>
      <c r="AY111" s="66">
        <v>3.4</v>
      </c>
      <c r="AZ111" s="66">
        <v>0.1437</v>
      </c>
      <c r="BA111" s="66">
        <v>0.077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AJ112" s="66">
        <v>2.6</v>
      </c>
      <c r="AK112" s="66">
        <v>0.07</v>
      </c>
      <c r="AL112" s="66">
        <v>0.0391</v>
      </c>
      <c r="AM112" s="66">
        <v>2.25</v>
      </c>
      <c r="AN112" s="66">
        <v>0.0733</v>
      </c>
      <c r="AO112" s="66">
        <v>0.0396</v>
      </c>
      <c r="AP112" s="66">
        <v>3.8</v>
      </c>
      <c r="AQ112" s="66">
        <v>0.1206</v>
      </c>
      <c r="AR112" s="66">
        <v>0.068</v>
      </c>
      <c r="AS112" s="66">
        <v>2.2</v>
      </c>
      <c r="AT112" s="66">
        <v>0.0965</v>
      </c>
      <c r="AU112" s="66">
        <v>0.053</v>
      </c>
      <c r="AW112" s="66">
        <v>0.1206</v>
      </c>
      <c r="AX112" s="66">
        <v>0.068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AJ117" s="66">
        <v>1.75</v>
      </c>
      <c r="AK117" s="66">
        <v>0.104</v>
      </c>
      <c r="AL117" s="66">
        <v>0.0429</v>
      </c>
      <c r="AM117" s="66">
        <v>2.05</v>
      </c>
      <c r="AN117" s="66">
        <v>0.1559</v>
      </c>
      <c r="AO117" s="66">
        <v>0.063</v>
      </c>
      <c r="AP117" s="66">
        <v>1.55</v>
      </c>
      <c r="AQ117" s="66">
        <v>0.1402</v>
      </c>
      <c r="AR117" s="66">
        <v>0.0603</v>
      </c>
      <c r="AS117" s="66">
        <v>1.85</v>
      </c>
      <c r="AT117" s="66">
        <v>0.1596</v>
      </c>
      <c r="AU117" s="66">
        <v>0.066</v>
      </c>
      <c r="AV117" s="66">
        <v>1.775</v>
      </c>
      <c r="AW117" s="66">
        <v>0.1419</v>
      </c>
      <c r="AX117" s="66">
        <v>0.0598</v>
      </c>
      <c r="AY117" s="66">
        <v>1.45</v>
      </c>
      <c r="AZ117" s="66">
        <v>0.1144</v>
      </c>
      <c r="BA117" s="66">
        <v>0.0458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2.75</v>
      </c>
      <c r="AK120" s="66">
        <v>0.413</v>
      </c>
      <c r="AL120" s="66">
        <v>0.1604</v>
      </c>
      <c r="AM120" s="66">
        <v>2.45</v>
      </c>
      <c r="AN120" s="66">
        <v>0.4286</v>
      </c>
      <c r="AO120" s="66">
        <v>0.169</v>
      </c>
      <c r="AP120" s="66">
        <v>2.75</v>
      </c>
      <c r="AQ120" s="66">
        <v>0.3457</v>
      </c>
      <c r="AR120" s="66">
        <v>0.1367</v>
      </c>
      <c r="AS120" s="66">
        <v>2.6</v>
      </c>
      <c r="AT120" s="66">
        <v>0.2486</v>
      </c>
      <c r="AU120" s="66">
        <v>0.0846</v>
      </c>
      <c r="AV120" s="66">
        <v>2.55</v>
      </c>
      <c r="AW120" s="66">
        <v>0.272</v>
      </c>
      <c r="AX120" s="66">
        <v>0.1046</v>
      </c>
      <c r="AY120" s="66">
        <v>2.55</v>
      </c>
      <c r="AZ120" s="66">
        <v>0.299</v>
      </c>
      <c r="BA120" s="66">
        <v>0.1042</v>
      </c>
      <c r="BB120" s="66">
        <v>2.55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G123" s="66">
        <v>4.0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G124" s="66">
        <v>10.0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G125" s="66">
        <v>6.0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G126" s="66">
        <v>7.0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G127" s="66">
        <v>3.0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G128" s="66">
        <v>5.0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G130" s="82">
        <v>44750.0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G131" s="66">
        <v>5.0</v>
      </c>
    </row>
    <row r="132">
      <c r="A132" s="66"/>
      <c r="B132" s="106"/>
      <c r="C132" s="66"/>
      <c r="D132" s="114"/>
      <c r="E132" s="133">
        <v>2084.0</v>
      </c>
      <c r="F132" s="133">
        <v>10.0</v>
      </c>
      <c r="G132" s="133">
        <v>10.0</v>
      </c>
    </row>
    <row r="133">
      <c r="A133" s="66"/>
      <c r="B133" s="106"/>
      <c r="C133" s="66"/>
      <c r="D133" s="114"/>
      <c r="E133" s="133">
        <v>2083.0</v>
      </c>
      <c r="F133" s="133">
        <v>10.0</v>
      </c>
      <c r="G133" s="133">
        <v>10.0</v>
      </c>
    </row>
    <row r="134">
      <c r="A134" s="66"/>
      <c r="B134" s="106"/>
      <c r="C134" s="66"/>
      <c r="D134" s="114"/>
      <c r="E134" s="133">
        <v>2042.0</v>
      </c>
      <c r="F134" s="133">
        <v>10.0</v>
      </c>
      <c r="G134" s="133">
        <v>10.0</v>
      </c>
    </row>
    <row r="135">
      <c r="A135" s="66"/>
      <c r="B135" s="106"/>
      <c r="C135" s="66"/>
      <c r="D135" s="114"/>
      <c r="E135" s="133">
        <v>2081.0</v>
      </c>
      <c r="F135" s="133">
        <v>10.0</v>
      </c>
      <c r="G135" s="133">
        <v>10.0</v>
      </c>
    </row>
    <row r="136">
      <c r="A136" s="66"/>
      <c r="B136" s="106"/>
      <c r="C136" s="66"/>
      <c r="D136" s="114"/>
      <c r="E136" s="133">
        <v>2080.0</v>
      </c>
      <c r="F136" s="133"/>
      <c r="G136" s="133">
        <v>5.0</v>
      </c>
    </row>
    <row r="137">
      <c r="A137" s="66"/>
      <c r="B137" s="106"/>
      <c r="C137" s="66"/>
      <c r="D137" s="114"/>
      <c r="E137" s="133">
        <v>2079.0</v>
      </c>
      <c r="F137" s="133">
        <v>10.0</v>
      </c>
      <c r="G137" s="133">
        <v>10.0</v>
      </c>
    </row>
    <row r="138">
      <c r="A138" s="66"/>
      <c r="B138" s="106"/>
      <c r="C138" s="66"/>
      <c r="D138" s="114"/>
      <c r="E138" s="133">
        <v>2078.0</v>
      </c>
      <c r="F138" s="133">
        <v>9.0</v>
      </c>
      <c r="G138" s="133">
        <v>10.0</v>
      </c>
    </row>
    <row r="139">
      <c r="A139" s="66"/>
      <c r="B139" s="106"/>
      <c r="C139" s="66"/>
      <c r="D139" s="114"/>
      <c r="E139" s="133">
        <v>2077.0</v>
      </c>
      <c r="F139" s="133"/>
      <c r="G139" s="133">
        <v>6.0</v>
      </c>
    </row>
    <row r="140">
      <c r="A140" s="66"/>
      <c r="B140" s="106"/>
      <c r="C140" s="66"/>
      <c r="D140" s="114"/>
      <c r="E140" s="133">
        <v>2076.0</v>
      </c>
      <c r="F140" s="133"/>
      <c r="G140" s="133">
        <v>8.0</v>
      </c>
    </row>
    <row r="141">
      <c r="A141" s="66"/>
      <c r="B141" s="106"/>
      <c r="C141" s="66"/>
      <c r="D141" s="114"/>
      <c r="E141" s="133">
        <v>2053.0</v>
      </c>
      <c r="F141" s="133"/>
      <c r="G141" s="133">
        <v>9.0</v>
      </c>
    </row>
    <row r="142">
      <c r="A142" s="66"/>
      <c r="B142" s="106"/>
      <c r="C142" s="66"/>
      <c r="D142" s="114"/>
      <c r="E142" s="133">
        <v>2052.0</v>
      </c>
      <c r="F142" s="133"/>
      <c r="G142" s="133">
        <v>7.0</v>
      </c>
    </row>
    <row r="143">
      <c r="A143" s="66" t="s">
        <v>124</v>
      </c>
      <c r="B143" s="106" t="s">
        <v>124</v>
      </c>
      <c r="C143" s="66" t="s">
        <v>124</v>
      </c>
      <c r="D143" s="114" t="s">
        <v>61</v>
      </c>
      <c r="E143" s="66">
        <v>2020.0</v>
      </c>
      <c r="G143" s="66">
        <v>8.0</v>
      </c>
    </row>
    <row r="144">
      <c r="A144" s="66" t="s">
        <v>124</v>
      </c>
      <c r="B144" s="106" t="s">
        <v>124</v>
      </c>
      <c r="C144" s="66" t="s">
        <v>124</v>
      </c>
      <c r="D144" s="114" t="s">
        <v>61</v>
      </c>
      <c r="E144" s="66">
        <v>2021.0</v>
      </c>
      <c r="G144" s="66">
        <v>6.0</v>
      </c>
    </row>
    <row r="145">
      <c r="A145" s="66" t="s">
        <v>124</v>
      </c>
      <c r="B145" s="106" t="s">
        <v>124</v>
      </c>
      <c r="C145" s="66" t="s">
        <v>124</v>
      </c>
      <c r="D145" s="114" t="s">
        <v>56</v>
      </c>
      <c r="E145" s="66">
        <v>2022.0</v>
      </c>
    </row>
    <row r="146">
      <c r="A146" s="66" t="s">
        <v>124</v>
      </c>
      <c r="B146" s="106" t="s">
        <v>124</v>
      </c>
      <c r="C146" s="66" t="s">
        <v>124</v>
      </c>
      <c r="D146" s="114" t="s">
        <v>56</v>
      </c>
      <c r="E146" s="66">
        <v>2023.0</v>
      </c>
      <c r="G146" s="66">
        <v>8.0</v>
      </c>
    </row>
    <row r="147">
      <c r="A147" s="66" t="s">
        <v>124</v>
      </c>
      <c r="B147" s="106" t="s">
        <v>124</v>
      </c>
      <c r="C147" s="66" t="s">
        <v>124</v>
      </c>
      <c r="D147" s="114" t="s">
        <v>61</v>
      </c>
      <c r="E147" s="66">
        <v>2024.0</v>
      </c>
      <c r="G147" s="66">
        <v>7.0</v>
      </c>
    </row>
    <row r="148">
      <c r="A148" s="66" t="s">
        <v>124</v>
      </c>
      <c r="B148" s="106" t="s">
        <v>124</v>
      </c>
      <c r="C148" s="66" t="s">
        <v>124</v>
      </c>
      <c r="D148" s="114" t="s">
        <v>61</v>
      </c>
      <c r="E148" s="66">
        <v>2025.0</v>
      </c>
      <c r="G148" s="66">
        <v>7.0</v>
      </c>
    </row>
    <row r="149">
      <c r="A149" s="66" t="s">
        <v>124</v>
      </c>
      <c r="B149" s="106" t="s">
        <v>125</v>
      </c>
      <c r="C149" s="66" t="s">
        <v>305</v>
      </c>
      <c r="D149" s="114" t="s">
        <v>61</v>
      </c>
      <c r="E149" s="66">
        <v>2026.0</v>
      </c>
      <c r="G149" s="66">
        <v>8.0</v>
      </c>
    </row>
    <row r="150">
      <c r="A150" s="66" t="s">
        <v>124</v>
      </c>
      <c r="B150" s="106" t="s">
        <v>125</v>
      </c>
      <c r="C150" s="66" t="s">
        <v>305</v>
      </c>
      <c r="D150" s="114" t="s">
        <v>61</v>
      </c>
      <c r="E150" s="66">
        <v>2027.0</v>
      </c>
      <c r="G150" s="66">
        <v>8.0</v>
      </c>
    </row>
    <row r="151">
      <c r="A151" s="66" t="s">
        <v>124</v>
      </c>
      <c r="B151" s="106" t="s">
        <v>125</v>
      </c>
      <c r="C151" s="66" t="s">
        <v>305</v>
      </c>
      <c r="D151" s="114" t="s">
        <v>61</v>
      </c>
      <c r="E151" s="66">
        <v>2028.0</v>
      </c>
      <c r="G151" s="66">
        <v>8.0</v>
      </c>
    </row>
    <row r="152">
      <c r="A152" s="66" t="s">
        <v>124</v>
      </c>
      <c r="B152" s="106" t="s">
        <v>125</v>
      </c>
      <c r="C152" s="66" t="s">
        <v>305</v>
      </c>
      <c r="D152" s="114" t="s">
        <v>56</v>
      </c>
      <c r="E152" s="66">
        <v>2029.0</v>
      </c>
    </row>
    <row r="153">
      <c r="A153" s="66" t="s">
        <v>124</v>
      </c>
      <c r="B153" s="106" t="s">
        <v>125</v>
      </c>
      <c r="C153" s="66" t="s">
        <v>305</v>
      </c>
      <c r="D153" s="114" t="s">
        <v>56</v>
      </c>
      <c r="E153" s="66">
        <v>2030.0</v>
      </c>
      <c r="G153" s="66">
        <v>6.0</v>
      </c>
    </row>
    <row r="154">
      <c r="A154" s="66" t="s">
        <v>124</v>
      </c>
      <c r="B154" s="106" t="s">
        <v>125</v>
      </c>
      <c r="C154" s="66" t="s">
        <v>305</v>
      </c>
      <c r="D154" s="114" t="s">
        <v>61</v>
      </c>
      <c r="E154" s="66">
        <v>2031.0</v>
      </c>
      <c r="G154" s="66">
        <v>7.0</v>
      </c>
    </row>
    <row r="155">
      <c r="A155" s="66" t="s">
        <v>104</v>
      </c>
      <c r="B155" s="106" t="s">
        <v>105</v>
      </c>
      <c r="C155" s="66" t="s">
        <v>306</v>
      </c>
      <c r="D155" s="114" t="s">
        <v>61</v>
      </c>
      <c r="E155" s="66">
        <v>2012.0</v>
      </c>
    </row>
    <row r="156">
      <c r="A156" s="66" t="s">
        <v>104</v>
      </c>
      <c r="B156" s="106" t="s">
        <v>105</v>
      </c>
      <c r="C156" s="66" t="s">
        <v>306</v>
      </c>
      <c r="D156" s="114" t="s">
        <v>61</v>
      </c>
      <c r="E156" s="66">
        <v>2013.0</v>
      </c>
    </row>
    <row r="157">
      <c r="A157" s="66" t="s">
        <v>104</v>
      </c>
      <c r="B157" s="106" t="s">
        <v>105</v>
      </c>
      <c r="C157" s="66" t="s">
        <v>306</v>
      </c>
      <c r="D157" s="114" t="s">
        <v>61</v>
      </c>
      <c r="E157" s="66">
        <v>2014.0</v>
      </c>
    </row>
    <row r="158">
      <c r="A158" s="66" t="s">
        <v>104</v>
      </c>
      <c r="B158" s="106" t="s">
        <v>105</v>
      </c>
      <c r="C158" s="66" t="s">
        <v>306</v>
      </c>
      <c r="D158" s="114" t="s">
        <v>61</v>
      </c>
      <c r="E158" s="66">
        <v>2015.0</v>
      </c>
    </row>
    <row r="159">
      <c r="A159" s="66" t="s">
        <v>104</v>
      </c>
      <c r="B159" s="106" t="s">
        <v>105</v>
      </c>
      <c r="C159" s="66" t="s">
        <v>306</v>
      </c>
      <c r="D159" s="114" t="s">
        <v>61</v>
      </c>
      <c r="E159" s="66">
        <v>1478.0</v>
      </c>
    </row>
    <row r="160">
      <c r="A160" s="66" t="s">
        <v>89</v>
      </c>
      <c r="B160" s="106" t="s">
        <v>91</v>
      </c>
      <c r="D160" s="114" t="s">
        <v>61</v>
      </c>
      <c r="E160" s="66">
        <v>2011.0</v>
      </c>
      <c r="G160" s="66">
        <v>10.0</v>
      </c>
      <c r="AJ160" s="66">
        <v>3.1</v>
      </c>
      <c r="AK160" s="66">
        <v>0.0703</v>
      </c>
      <c r="AL160" s="66">
        <v>0.038</v>
      </c>
      <c r="AM160" s="66">
        <v>3.2</v>
      </c>
      <c r="AN160" s="66">
        <v>0.117</v>
      </c>
      <c r="AO160" s="66">
        <v>0.063</v>
      </c>
      <c r="AP160" s="66"/>
      <c r="AQ160" s="66">
        <v>0.0897</v>
      </c>
      <c r="AR160" s="66">
        <v>0.0475</v>
      </c>
    </row>
    <row r="161">
      <c r="A161" s="66" t="s">
        <v>89</v>
      </c>
      <c r="B161" s="106" t="s">
        <v>91</v>
      </c>
      <c r="C161" s="66" t="s">
        <v>307</v>
      </c>
      <c r="D161" s="114" t="s">
        <v>61</v>
      </c>
      <c r="E161" s="66">
        <v>2010.0</v>
      </c>
      <c r="F161" s="66">
        <v>10.0</v>
      </c>
      <c r="G161" s="66">
        <v>10.0</v>
      </c>
    </row>
    <row r="162">
      <c r="A162" s="66" t="s">
        <v>89</v>
      </c>
      <c r="B162" s="106" t="s">
        <v>113</v>
      </c>
      <c r="C162" s="66" t="s">
        <v>308</v>
      </c>
      <c r="D162" s="114" t="s">
        <v>61</v>
      </c>
      <c r="E162" s="66">
        <v>2009.0</v>
      </c>
      <c r="F162" s="66">
        <v>8.0</v>
      </c>
      <c r="G162" s="66">
        <v>9.0</v>
      </c>
      <c r="AJ162" s="66">
        <v>2.9</v>
      </c>
      <c r="AK162" s="66">
        <v>0.1074</v>
      </c>
      <c r="AL162" s="66">
        <v>0.0506</v>
      </c>
      <c r="AM162" s="66">
        <v>3.0</v>
      </c>
      <c r="AN162" s="66">
        <v>0.1332</v>
      </c>
      <c r="AO162" s="66">
        <v>0.0681</v>
      </c>
      <c r="AP162" s="66"/>
      <c r="AQ162" s="66">
        <v>0.1271</v>
      </c>
      <c r="AR162" s="66">
        <v>0.0656</v>
      </c>
    </row>
    <row r="163">
      <c r="A163" s="66" t="s">
        <v>104</v>
      </c>
      <c r="B163" s="106" t="s">
        <v>107</v>
      </c>
      <c r="D163" s="114" t="s">
        <v>61</v>
      </c>
      <c r="E163" s="66">
        <v>2008.0</v>
      </c>
    </row>
    <row r="164">
      <c r="D164" s="112"/>
      <c r="E164" s="66">
        <v>2127.0</v>
      </c>
      <c r="F164" s="66"/>
      <c r="G164" s="66">
        <v>6.0</v>
      </c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  <row r="315">
      <c r="D315" s="112"/>
    </row>
    <row r="316">
      <c r="D316" s="112"/>
    </row>
    <row r="317">
      <c r="D317" s="112"/>
    </row>
    <row r="318">
      <c r="D318" s="112"/>
    </row>
    <row r="319">
      <c r="D319" s="112"/>
    </row>
    <row r="320">
      <c r="D320" s="112"/>
    </row>
    <row r="321">
      <c r="D321" s="112"/>
    </row>
    <row r="322">
      <c r="D322" s="112"/>
    </row>
    <row r="323">
      <c r="D323" s="112"/>
    </row>
    <row r="324">
      <c r="D324" s="112"/>
    </row>
    <row r="325">
      <c r="D325" s="112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04" t="s">
        <v>366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1.412</v>
      </c>
      <c r="J7" s="66">
        <v>0.1674</v>
      </c>
      <c r="K7" s="66">
        <v>0.109</v>
      </c>
      <c r="L7" s="66">
        <v>1.621</v>
      </c>
      <c r="M7" s="66">
        <v>0.2465</v>
      </c>
      <c r="N7" s="66">
        <v>0.161</v>
      </c>
      <c r="O7" s="66">
        <v>2.033</v>
      </c>
      <c r="P7" s="66">
        <v>0.1288</v>
      </c>
      <c r="Q7" s="66">
        <v>0.085</v>
      </c>
      <c r="R7" s="66">
        <v>0.841</v>
      </c>
      <c r="S7" s="66">
        <v>0.1198</v>
      </c>
      <c r="T7" s="66">
        <v>0.078</v>
      </c>
      <c r="U7" s="66">
        <v>1.235</v>
      </c>
      <c r="V7" s="66">
        <v>0.173</v>
      </c>
      <c r="W7" s="66">
        <v>0.115</v>
      </c>
      <c r="AG7" s="66">
        <v>0.2469</v>
      </c>
      <c r="AH7" s="66">
        <v>0.157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1.231</v>
      </c>
      <c r="J9" s="66">
        <v>0.431</v>
      </c>
      <c r="K9" s="66">
        <v>0.272</v>
      </c>
      <c r="L9" s="66">
        <v>1.071</v>
      </c>
      <c r="M9" s="66">
        <v>0.3974</v>
      </c>
      <c r="N9" s="66">
        <v>0.243</v>
      </c>
      <c r="O9" s="66">
        <v>2.213</v>
      </c>
      <c r="P9" s="66">
        <v>0.5254</v>
      </c>
      <c r="Q9" s="66">
        <v>0.324</v>
      </c>
      <c r="R9" s="66">
        <v>1.251</v>
      </c>
      <c r="S9" s="66">
        <v>0.3335</v>
      </c>
      <c r="T9" s="66">
        <v>0.204</v>
      </c>
      <c r="U9" s="66">
        <v>2.185</v>
      </c>
      <c r="V9" s="66">
        <v>0.3775</v>
      </c>
      <c r="W9" s="66">
        <v>0.243</v>
      </c>
      <c r="AG9" s="66">
        <v>0.8855</v>
      </c>
      <c r="AH9" s="66">
        <v>0.545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1.3</v>
      </c>
      <c r="J18" s="66">
        <v>0.1718</v>
      </c>
      <c r="K18" s="66">
        <v>0.094</v>
      </c>
      <c r="L18" s="66">
        <v>1.4</v>
      </c>
      <c r="M18" s="66">
        <v>0.1176</v>
      </c>
      <c r="N18" s="66">
        <v>0.063</v>
      </c>
      <c r="O18" s="66">
        <v>1.4</v>
      </c>
      <c r="P18" s="66">
        <v>0.196</v>
      </c>
      <c r="Q18" s="66">
        <v>0.108</v>
      </c>
      <c r="AG18" s="66">
        <v>0.806</v>
      </c>
      <c r="AH18" s="66">
        <v>0.434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1.4</v>
      </c>
      <c r="J24" s="66">
        <v>0.1461</v>
      </c>
      <c r="K24" s="66">
        <v>0.076</v>
      </c>
      <c r="L24" s="66">
        <v>1.4</v>
      </c>
      <c r="M24" s="66">
        <v>0.1409</v>
      </c>
      <c r="N24" s="66">
        <v>0.074</v>
      </c>
      <c r="O24" s="66" t="s">
        <v>58</v>
      </c>
      <c r="P24" s="66">
        <v>0.127</v>
      </c>
      <c r="Q24" s="66">
        <v>0.065</v>
      </c>
      <c r="AG24" s="66">
        <v>0.6212</v>
      </c>
      <c r="AH24" s="66">
        <v>0.318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1.6</v>
      </c>
      <c r="J27" s="66">
        <v>0.1053</v>
      </c>
      <c r="K27" s="66">
        <v>0.055</v>
      </c>
      <c r="L27" s="66">
        <v>1.0</v>
      </c>
      <c r="M27" s="66">
        <v>0.0868</v>
      </c>
      <c r="N27" s="66">
        <v>0.045</v>
      </c>
      <c r="O27" s="66">
        <v>1.1</v>
      </c>
      <c r="P27" s="66">
        <v>0.0993</v>
      </c>
      <c r="Q27" s="66">
        <v>0.052</v>
      </c>
      <c r="R27" s="66">
        <v>1.1</v>
      </c>
      <c r="S27" s="66">
        <v>0.0807</v>
      </c>
      <c r="T27" s="66">
        <v>0.043</v>
      </c>
      <c r="AG27" s="66">
        <v>0.5864</v>
      </c>
      <c r="AH27" s="66">
        <v>0.306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1.6</v>
      </c>
      <c r="J30" s="66">
        <v>0.1047</v>
      </c>
      <c r="K30" s="66">
        <v>0.058</v>
      </c>
      <c r="L30" s="66">
        <v>1.3</v>
      </c>
      <c r="M30" s="66">
        <v>0.1605</v>
      </c>
      <c r="N30" s="66">
        <v>0.087</v>
      </c>
      <c r="O30" s="66">
        <v>1.5</v>
      </c>
      <c r="P30" s="66">
        <v>0.1007</v>
      </c>
      <c r="Q30" s="66">
        <v>0.055</v>
      </c>
      <c r="AG30" s="66">
        <v>0.8359</v>
      </c>
      <c r="AH30" s="66">
        <v>0.447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0.689</v>
      </c>
      <c r="J31" s="66">
        <v>0.2742</v>
      </c>
      <c r="K31" s="66">
        <v>0.173</v>
      </c>
      <c r="L31" s="66">
        <v>0.947</v>
      </c>
      <c r="M31" s="66">
        <v>0.2917</v>
      </c>
      <c r="N31" s="66">
        <v>0.184</v>
      </c>
      <c r="O31" s="66">
        <v>0.849</v>
      </c>
      <c r="P31" s="66">
        <v>0.3317</v>
      </c>
      <c r="Q31" s="66">
        <v>0.21</v>
      </c>
      <c r="AG31" s="66">
        <v>1.5208</v>
      </c>
      <c r="AH31" s="66">
        <v>0.961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0.3</v>
      </c>
      <c r="J32" s="66">
        <v>0.4999</v>
      </c>
      <c r="K32" s="66">
        <v>0.329</v>
      </c>
      <c r="L32" s="66">
        <v>1.1</v>
      </c>
      <c r="M32" s="66">
        <v>0.3096</v>
      </c>
      <c r="N32" s="66">
        <v>0.193</v>
      </c>
      <c r="O32" s="66">
        <v>1.0</v>
      </c>
      <c r="P32" s="66">
        <v>0.6369</v>
      </c>
      <c r="Q32" s="66">
        <v>0.399</v>
      </c>
      <c r="R32" s="66">
        <v>0.9</v>
      </c>
      <c r="S32" s="66">
        <v>0.2622</v>
      </c>
      <c r="T32" s="66">
        <v>0.169</v>
      </c>
      <c r="AG32" s="66">
        <v>1.7582</v>
      </c>
      <c r="AH32" s="66">
        <v>1.101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1.333</v>
      </c>
      <c r="J33" s="66">
        <v>0.1847</v>
      </c>
      <c r="K33" s="66">
        <v>0.102</v>
      </c>
      <c r="L33" s="66">
        <v>1.301</v>
      </c>
      <c r="M33" s="66">
        <v>0.1666</v>
      </c>
      <c r="N33" s="66">
        <v>0.091</v>
      </c>
      <c r="O33" s="66">
        <v>1.281</v>
      </c>
      <c r="P33" s="66">
        <v>0.1498</v>
      </c>
      <c r="Q33" s="66">
        <v>0.083</v>
      </c>
      <c r="AG33" s="66">
        <v>1.4301</v>
      </c>
      <c r="AH33" s="66">
        <v>0.766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1.212</v>
      </c>
      <c r="J34" s="66">
        <v>0.1302</v>
      </c>
      <c r="K34" s="66">
        <v>0.072</v>
      </c>
      <c r="L34" s="66">
        <v>1.11</v>
      </c>
      <c r="M34" s="66">
        <v>0.0828</v>
      </c>
      <c r="N34" s="66">
        <v>0.046</v>
      </c>
      <c r="O34" s="66">
        <v>1.215</v>
      </c>
      <c r="P34" s="66">
        <v>0.1128</v>
      </c>
      <c r="Q34" s="66">
        <v>0.064</v>
      </c>
      <c r="AG34" s="66">
        <v>0.9412</v>
      </c>
      <c r="AH34" s="66">
        <v>0.514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1.841</v>
      </c>
      <c r="J35" s="66">
        <v>0.1128</v>
      </c>
      <c r="K35" s="66">
        <v>0.075</v>
      </c>
      <c r="L35" s="66">
        <v>0.974</v>
      </c>
      <c r="M35" s="66">
        <v>0.146</v>
      </c>
      <c r="N35" s="66">
        <v>0.094</v>
      </c>
      <c r="O35" s="66">
        <v>0.67</v>
      </c>
      <c r="P35" s="66">
        <v>0.2345</v>
      </c>
      <c r="Q35" s="66">
        <v>0.15</v>
      </c>
      <c r="R35" s="66">
        <v>0.962</v>
      </c>
      <c r="S35" s="66">
        <v>0.1459</v>
      </c>
      <c r="T35" s="66">
        <v>0.095</v>
      </c>
      <c r="AG35" s="66">
        <v>3.7176</v>
      </c>
      <c r="AH35" s="66">
        <v>2.173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1.3</v>
      </c>
      <c r="J42" s="66">
        <v>0.317</v>
      </c>
      <c r="K42" s="66">
        <v>0.17</v>
      </c>
      <c r="L42" s="66">
        <v>1.6</v>
      </c>
      <c r="M42" s="66">
        <v>0.2196</v>
      </c>
      <c r="N42" s="66">
        <v>0.119</v>
      </c>
      <c r="O42" s="66">
        <v>1.6</v>
      </c>
      <c r="P42" s="66">
        <v>0.2838</v>
      </c>
      <c r="Q42" s="66">
        <v>0.155</v>
      </c>
      <c r="AG42" s="66">
        <v>1.3455</v>
      </c>
      <c r="AH42" s="66">
        <v>0.712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</v>
      </c>
      <c r="J46" s="66">
        <v>0.2446</v>
      </c>
      <c r="K46" s="66">
        <v>0.15</v>
      </c>
      <c r="L46" s="66">
        <v>0.5</v>
      </c>
      <c r="M46" s="66">
        <v>0.1695</v>
      </c>
      <c r="N46" s="66">
        <v>0.104</v>
      </c>
      <c r="O46" s="66">
        <v>0.5</v>
      </c>
      <c r="P46" s="66">
        <v>0.2333</v>
      </c>
      <c r="Q46" s="66">
        <v>0.146</v>
      </c>
      <c r="AG46" s="66">
        <v>1.3766</v>
      </c>
      <c r="AH46" s="66">
        <v>0.844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1.89</v>
      </c>
      <c r="J47" s="66">
        <v>0.4189</v>
      </c>
      <c r="K47" s="66">
        <v>0.236</v>
      </c>
      <c r="L47" s="66">
        <v>1.9</v>
      </c>
      <c r="M47" s="66">
        <v>0.2232</v>
      </c>
      <c r="N47" s="66">
        <v>0.13</v>
      </c>
      <c r="O47" s="66">
        <v>1.593</v>
      </c>
      <c r="P47" s="66">
        <v>0.1053</v>
      </c>
      <c r="Q47" s="66">
        <v>0.057</v>
      </c>
      <c r="R47" s="66">
        <v>1.72</v>
      </c>
      <c r="S47" s="66">
        <v>0.0799</v>
      </c>
      <c r="T47" s="66">
        <v>0.047</v>
      </c>
      <c r="AG47" s="66">
        <v>0.5043</v>
      </c>
      <c r="AH47" s="66">
        <v>0.239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1.5</v>
      </c>
      <c r="J48" s="66">
        <v>0.1583</v>
      </c>
      <c r="K48" s="66">
        <v>0.08</v>
      </c>
      <c r="L48" s="66">
        <v>1.8</v>
      </c>
      <c r="M48" s="66">
        <v>0.2138</v>
      </c>
      <c r="N48" s="66">
        <v>0.109</v>
      </c>
      <c r="O48" s="66">
        <v>1.5</v>
      </c>
      <c r="P48" s="66">
        <v>0.1166</v>
      </c>
      <c r="Q48" s="66">
        <v>0.059</v>
      </c>
      <c r="AG48" s="66">
        <v>0.9979</v>
      </c>
      <c r="AH48" s="66">
        <v>0.497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1.5</v>
      </c>
      <c r="J53" s="66">
        <v>0.2063</v>
      </c>
      <c r="K53" s="66">
        <v>0.099</v>
      </c>
      <c r="L53" s="66">
        <v>1.2</v>
      </c>
      <c r="M53" s="66">
        <v>0.1154</v>
      </c>
      <c r="N53" s="66">
        <v>0.055</v>
      </c>
      <c r="O53" s="66">
        <v>1.3</v>
      </c>
      <c r="P53" s="66">
        <v>0.1633</v>
      </c>
      <c r="Q53" s="66">
        <v>0.079</v>
      </c>
      <c r="AG53" s="66">
        <v>0.7979</v>
      </c>
      <c r="AH53" s="66">
        <v>0.38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1.471</v>
      </c>
      <c r="J75" s="66">
        <v>0.219</v>
      </c>
      <c r="K75" s="66">
        <v>0.14</v>
      </c>
      <c r="L75" s="66">
        <v>1.15</v>
      </c>
      <c r="M75" s="66">
        <v>0.2296</v>
      </c>
      <c r="N75" s="66">
        <v>0.144</v>
      </c>
      <c r="O75" s="66">
        <v>1.289</v>
      </c>
      <c r="P75" s="66">
        <v>0.191</v>
      </c>
      <c r="Q75" s="66">
        <v>0.123</v>
      </c>
      <c r="AG75" s="66">
        <v>1.7243</v>
      </c>
      <c r="AH75" s="66">
        <v>0.703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1.36</v>
      </c>
      <c r="J82" s="66">
        <v>0.2629</v>
      </c>
      <c r="K82" s="66">
        <v>0.166</v>
      </c>
      <c r="L82" s="66">
        <v>1.38</v>
      </c>
      <c r="M82" s="66">
        <v>0.3142</v>
      </c>
      <c r="N82" s="66">
        <v>0.199</v>
      </c>
      <c r="O82" s="66">
        <v>1.384</v>
      </c>
      <c r="P82" s="66">
        <v>0.3714</v>
      </c>
      <c r="Q82" s="66">
        <v>0.228</v>
      </c>
      <c r="AG82" s="66">
        <v>1.1619</v>
      </c>
      <c r="AH82" s="66">
        <v>0.728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1.45</v>
      </c>
      <c r="J91" s="66">
        <v>0.0766</v>
      </c>
      <c r="K91" s="66">
        <v>0.039</v>
      </c>
      <c r="L91" s="66">
        <v>1.416</v>
      </c>
      <c r="M91" s="66">
        <v>0.0646</v>
      </c>
      <c r="N91" s="66">
        <v>0.033</v>
      </c>
      <c r="AG91" s="66">
        <v>0.3267</v>
      </c>
      <c r="AH91" s="66">
        <v>0.149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1.129</v>
      </c>
      <c r="J92" s="66">
        <v>0.158</v>
      </c>
      <c r="K92" s="66">
        <v>0.074</v>
      </c>
      <c r="L92" s="66">
        <v>0.998</v>
      </c>
      <c r="M92" s="66">
        <v>0.0934</v>
      </c>
      <c r="N92" s="66">
        <v>0.046</v>
      </c>
      <c r="O92" s="66">
        <v>0.879</v>
      </c>
      <c r="P92" s="66">
        <v>0.1438</v>
      </c>
      <c r="Q92" s="66">
        <v>0.067</v>
      </c>
      <c r="AG92" s="66">
        <v>0.8597</v>
      </c>
      <c r="AH92" s="66">
        <v>0.41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1.217</v>
      </c>
      <c r="J93" s="66">
        <v>0.1206</v>
      </c>
      <c r="K93" s="66">
        <v>0.062</v>
      </c>
      <c r="L93" s="66">
        <v>1.188</v>
      </c>
      <c r="M93" s="66">
        <v>0.1228</v>
      </c>
      <c r="N93" s="66">
        <v>0.064</v>
      </c>
      <c r="O93" s="66">
        <v>1.228</v>
      </c>
      <c r="P93" s="66">
        <v>0.1194</v>
      </c>
      <c r="Q93" s="66">
        <v>0.063</v>
      </c>
      <c r="AG93" s="66">
        <v>0.6786</v>
      </c>
      <c r="AH93" s="66">
        <v>0.288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1.4</v>
      </c>
      <c r="J107" s="66">
        <v>0.1492</v>
      </c>
      <c r="K107" s="66">
        <v>0.082</v>
      </c>
      <c r="L107" s="66">
        <v>1.2</v>
      </c>
      <c r="M107" s="66">
        <v>0.1596</v>
      </c>
      <c r="N107" s="66">
        <v>0.087</v>
      </c>
      <c r="O107" s="66">
        <v>1.6</v>
      </c>
      <c r="P107" s="66">
        <v>0.1804</v>
      </c>
      <c r="Q107" s="66">
        <v>0.101</v>
      </c>
      <c r="AG107" s="66">
        <v>0.8111</v>
      </c>
      <c r="AH107" s="66">
        <v>0.439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2.45</v>
      </c>
      <c r="J110" s="66">
        <v>0.2082</v>
      </c>
      <c r="K110" s="66">
        <v>0.117</v>
      </c>
      <c r="L110" s="66">
        <v>2.6</v>
      </c>
      <c r="M110" s="66">
        <v>0.2113</v>
      </c>
      <c r="N110" s="66">
        <v>0.12</v>
      </c>
      <c r="O110" s="66">
        <v>1.4</v>
      </c>
      <c r="P110" s="66">
        <v>0.4267</v>
      </c>
      <c r="Q110" s="66">
        <v>0.234</v>
      </c>
      <c r="R110" s="66">
        <v>1.35</v>
      </c>
      <c r="S110" s="66">
        <v>0.2241</v>
      </c>
      <c r="T110" s="66">
        <v>0.123</v>
      </c>
      <c r="U110" s="66">
        <v>1.1</v>
      </c>
      <c r="V110" s="66">
        <v>0.2925</v>
      </c>
      <c r="W110" s="66">
        <v>0.16</v>
      </c>
      <c r="X110" s="66">
        <v>1.6</v>
      </c>
      <c r="Y110" s="66">
        <v>0.1017</v>
      </c>
      <c r="Z110" s="66">
        <v>0.058</v>
      </c>
      <c r="AA110" s="66">
        <v>1.5</v>
      </c>
      <c r="AB110" s="66">
        <v>0.1953</v>
      </c>
      <c r="AC110" s="66">
        <v>0.109</v>
      </c>
      <c r="AG110" s="66">
        <v>0.1926</v>
      </c>
      <c r="AH110" s="66">
        <v>0.108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0.951</v>
      </c>
      <c r="J111" s="66">
        <v>0.1729</v>
      </c>
      <c r="K111" s="66">
        <v>0.095</v>
      </c>
      <c r="L111" s="66">
        <v>0.95</v>
      </c>
      <c r="M111" s="66">
        <v>0.1714</v>
      </c>
      <c r="N111" s="66">
        <v>0.096</v>
      </c>
      <c r="O111" s="66" t="s">
        <v>58</v>
      </c>
      <c r="P111" s="66">
        <v>0.0958</v>
      </c>
      <c r="Q111" s="66">
        <v>0.053</v>
      </c>
      <c r="AG111" s="66">
        <v>0.7765</v>
      </c>
      <c r="AH111" s="66">
        <v>0.426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1.1</v>
      </c>
      <c r="J112" s="66">
        <v>0.1965</v>
      </c>
      <c r="K112" s="66">
        <v>0.11</v>
      </c>
      <c r="L112" s="66">
        <v>1.0</v>
      </c>
      <c r="M112" s="66">
        <v>0.0601</v>
      </c>
      <c r="N112" s="66">
        <v>0.034</v>
      </c>
      <c r="O112" s="66">
        <v>1.1</v>
      </c>
      <c r="P112" s="66">
        <v>0.117</v>
      </c>
      <c r="Q112" s="66">
        <v>0.067</v>
      </c>
      <c r="AG112" s="66">
        <v>1.1212</v>
      </c>
      <c r="AH112" s="66">
        <v>0.619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1.52</v>
      </c>
      <c r="J117" s="66">
        <v>0.2527</v>
      </c>
      <c r="K117" s="66">
        <v>0.103</v>
      </c>
      <c r="L117" s="66">
        <v>1.351</v>
      </c>
      <c r="M117" s="66">
        <v>0.1469</v>
      </c>
      <c r="N117" s="66">
        <v>0.063</v>
      </c>
      <c r="O117" s="66">
        <v>1.797</v>
      </c>
      <c r="P117" s="66">
        <v>0.1989</v>
      </c>
      <c r="Q117" s="66">
        <v>0.08</v>
      </c>
      <c r="R117" s="66">
        <v>1.139</v>
      </c>
      <c r="S117" s="66">
        <v>0.1625</v>
      </c>
      <c r="T117" s="66">
        <v>0.07</v>
      </c>
      <c r="U117" s="66">
        <v>1.104</v>
      </c>
      <c r="V117" s="66">
        <v>0.0678</v>
      </c>
      <c r="W117" s="66">
        <v>0.027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2.223</v>
      </c>
      <c r="J120" s="66">
        <v>0.744</v>
      </c>
      <c r="K120" s="66">
        <v>0.2965</v>
      </c>
      <c r="L120" s="66">
        <v>2.039</v>
      </c>
      <c r="M120" s="66">
        <v>0.3889</v>
      </c>
      <c r="N120" s="66">
        <v>0.157</v>
      </c>
      <c r="O120" s="66">
        <v>2.1</v>
      </c>
      <c r="P120" s="66">
        <v>0.5704</v>
      </c>
      <c r="Q120" s="66">
        <v>0.231</v>
      </c>
      <c r="R120" s="66">
        <v>2.443</v>
      </c>
      <c r="S120" s="66">
        <v>0.3725</v>
      </c>
      <c r="T120" s="66">
        <v>0.182</v>
      </c>
      <c r="U120" s="66">
        <v>2.143</v>
      </c>
      <c r="V120" s="66">
        <v>0.5835</v>
      </c>
      <c r="W120" s="66">
        <v>0.27</v>
      </c>
      <c r="X120" s="66">
        <v>2.362</v>
      </c>
      <c r="Y120" s="66">
        <v>0.4253</v>
      </c>
      <c r="Z120" s="66">
        <v>0.202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AJ123" s="66">
        <v>0.96</v>
      </c>
      <c r="AM123" s="66">
        <v>0.95</v>
      </c>
      <c r="AP123" s="66">
        <v>0.85</v>
      </c>
      <c r="AS123" s="66">
        <v>0.67</v>
      </c>
      <c r="AV123" s="66">
        <v>1.51</v>
      </c>
      <c r="AY123" s="66">
        <v>1.22</v>
      </c>
      <c r="BB123" s="66">
        <v>1.38</v>
      </c>
      <c r="BE123" s="66">
        <v>1.117</v>
      </c>
      <c r="BF123" s="66">
        <v>0.366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AJ124" s="66">
        <v>1.18</v>
      </c>
      <c r="AM124" s="66">
        <v>1.93</v>
      </c>
      <c r="AP124" s="66">
        <v>2.2</v>
      </c>
      <c r="AS124" s="66">
        <v>1.3</v>
      </c>
      <c r="AV124" s="81">
        <f>average(1.02,1.45)</f>
        <v>1.235</v>
      </c>
      <c r="AY124" s="66">
        <v>1.27</v>
      </c>
      <c r="BB124" s="66">
        <v>1.9</v>
      </c>
      <c r="BE124" s="66">
        <v>1.619</v>
      </c>
      <c r="BF124" s="66">
        <v>0.661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AJ125" s="66">
        <v>1.29</v>
      </c>
      <c r="AM125" s="66">
        <v>1.45</v>
      </c>
      <c r="AP125" s="66">
        <v>1.24</v>
      </c>
      <c r="AS125" s="66">
        <v>1.85</v>
      </c>
      <c r="AV125" s="66">
        <v>1.45</v>
      </c>
      <c r="AY125" s="66">
        <v>1.38</v>
      </c>
      <c r="BE125" s="66">
        <v>2.073</v>
      </c>
      <c r="BF125" s="66">
        <v>0.947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AJ126" s="66">
        <v>2.04</v>
      </c>
      <c r="AM126" s="66">
        <v>1.85</v>
      </c>
      <c r="AP126" s="66">
        <v>1.8</v>
      </c>
      <c r="AS126" s="66">
        <v>1.88</v>
      </c>
      <c r="BE126" s="66">
        <v>1.744</v>
      </c>
      <c r="BF126" s="66">
        <v>0.571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AJ127" s="66">
        <v>1.23</v>
      </c>
      <c r="AM127" s="66">
        <v>1.4</v>
      </c>
      <c r="AP127" s="66">
        <v>1.15</v>
      </c>
      <c r="AS127" s="66">
        <v>1.5</v>
      </c>
      <c r="BE127" s="66">
        <v>1.948</v>
      </c>
      <c r="BF127" s="66">
        <v>0.853</v>
      </c>
      <c r="BH127" s="66" t="s">
        <v>367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AJ128" s="66">
        <v>1.43</v>
      </c>
      <c r="AM128" s="66">
        <v>1.25</v>
      </c>
      <c r="AP128" s="66">
        <v>1.24</v>
      </c>
      <c r="AS128" s="66">
        <v>1.2</v>
      </c>
      <c r="BE128" s="66">
        <v>1.346</v>
      </c>
      <c r="BF128" s="66">
        <v>0.353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AJ129" s="66">
        <v>1.4</v>
      </c>
      <c r="AM129" s="66">
        <v>1.32</v>
      </c>
      <c r="AP129" s="66">
        <v>1.2</v>
      </c>
      <c r="BE129" s="66">
        <v>1.292</v>
      </c>
      <c r="BF129" s="66">
        <v>0.291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AJ130" s="66">
        <v>1.55</v>
      </c>
      <c r="AM130" s="66">
        <v>1.56</v>
      </c>
      <c r="AP130" s="66">
        <v>1.65</v>
      </c>
      <c r="BE130" s="66">
        <v>1.906</v>
      </c>
      <c r="BF130" s="66">
        <v>0.845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AJ131" s="66">
        <v>1.45</v>
      </c>
      <c r="AM131" s="66">
        <v>1.31</v>
      </c>
      <c r="AP131" s="66">
        <v>1.68</v>
      </c>
      <c r="AS131" s="66">
        <v>1.63</v>
      </c>
      <c r="BE131" s="66">
        <v>2.3</v>
      </c>
      <c r="BF131" s="66">
        <v>0.762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1.6</v>
      </c>
      <c r="J149" s="66">
        <v>0.124</v>
      </c>
      <c r="K149" s="66">
        <v>0.07</v>
      </c>
      <c r="L149" s="66">
        <v>1.3</v>
      </c>
      <c r="M149" s="66">
        <v>0.1306</v>
      </c>
      <c r="N149" s="66">
        <v>0.072</v>
      </c>
      <c r="O149" s="66">
        <v>1.6</v>
      </c>
      <c r="P149" s="66">
        <v>0.1235</v>
      </c>
      <c r="Q149" s="66">
        <v>0.069</v>
      </c>
      <c r="AG149" s="66">
        <v>1.1259</v>
      </c>
      <c r="AH149" s="66">
        <v>0.613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1.46</v>
      </c>
      <c r="J150" s="66">
        <v>0.2034</v>
      </c>
      <c r="K150" s="66">
        <v>0.112</v>
      </c>
      <c r="L150" s="66">
        <v>1.29</v>
      </c>
      <c r="M150" s="66">
        <v>0.1814</v>
      </c>
      <c r="N150" s="66">
        <v>0.099</v>
      </c>
      <c r="O150" s="66">
        <v>1.215</v>
      </c>
      <c r="P150" s="66">
        <v>0.2556</v>
      </c>
      <c r="Q150" s="66">
        <v>0.14</v>
      </c>
      <c r="R150" s="66">
        <v>1.416</v>
      </c>
      <c r="S150" s="66">
        <v>0.1277</v>
      </c>
      <c r="T150" s="66">
        <v>0.072</v>
      </c>
      <c r="AG150" s="66">
        <v>0.7206</v>
      </c>
      <c r="AH150" s="66">
        <v>0.391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I151" s="66">
        <v>1.279</v>
      </c>
      <c r="J151" s="66">
        <v>0.111</v>
      </c>
      <c r="K151" s="66">
        <v>0.06</v>
      </c>
      <c r="L151" s="66">
        <v>1.301</v>
      </c>
      <c r="M151" s="66">
        <v>0.1331</v>
      </c>
      <c r="N151" s="66">
        <v>0.071</v>
      </c>
      <c r="O151" s="66">
        <v>1.4</v>
      </c>
      <c r="P151" s="66">
        <v>0.1577</v>
      </c>
      <c r="Q151" s="66">
        <v>0.085</v>
      </c>
      <c r="AG151" s="66">
        <v>0.8395</v>
      </c>
      <c r="AH151" s="66">
        <v>0.439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99</v>
      </c>
      <c r="B1" s="25" t="s">
        <v>100</v>
      </c>
      <c r="C1" s="25" t="s">
        <v>12</v>
      </c>
      <c r="D1" s="25" t="s">
        <v>13</v>
      </c>
      <c r="E1" s="65" t="s">
        <v>45</v>
      </c>
      <c r="F1" s="66" t="s">
        <v>101</v>
      </c>
      <c r="G1" s="66" t="s">
        <v>102</v>
      </c>
      <c r="H1" s="66" t="s">
        <v>103</v>
      </c>
    </row>
    <row r="2">
      <c r="A2" s="67" t="s">
        <v>104</v>
      </c>
      <c r="B2" s="67" t="s">
        <v>105</v>
      </c>
      <c r="C2" s="68" t="s">
        <v>61</v>
      </c>
      <c r="D2" s="69">
        <v>1478.0</v>
      </c>
      <c r="E2" s="70"/>
      <c r="F2" s="71" t="s">
        <v>106</v>
      </c>
      <c r="G2" s="71">
        <v>1366.0</v>
      </c>
      <c r="H2" s="71">
        <v>1366.0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7" t="s">
        <v>104</v>
      </c>
      <c r="B3" s="67" t="s">
        <v>107</v>
      </c>
      <c r="C3" s="68" t="s">
        <v>61</v>
      </c>
      <c r="D3" s="69">
        <v>2004.0</v>
      </c>
      <c r="E3" s="70"/>
      <c r="F3" s="71" t="s">
        <v>108</v>
      </c>
      <c r="G3" s="71">
        <v>1351.0</v>
      </c>
      <c r="H3" s="71">
        <v>1351.0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67" t="s">
        <v>104</v>
      </c>
      <c r="B4" s="67" t="s">
        <v>107</v>
      </c>
      <c r="C4" s="68" t="s">
        <v>61</v>
      </c>
      <c r="D4" s="69">
        <v>2005.0</v>
      </c>
      <c r="E4" s="70"/>
      <c r="F4" s="71" t="s">
        <v>109</v>
      </c>
      <c r="G4" s="71">
        <v>1354.0</v>
      </c>
      <c r="H4" s="71">
        <v>1354.0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67" t="s">
        <v>104</v>
      </c>
      <c r="B5" s="67" t="s">
        <v>107</v>
      </c>
      <c r="C5" s="68" t="s">
        <v>61</v>
      </c>
      <c r="D5" s="69">
        <v>2006.0</v>
      </c>
      <c r="E5" s="70"/>
      <c r="F5" s="71" t="s">
        <v>110</v>
      </c>
      <c r="G5" s="71">
        <v>1363.0</v>
      </c>
      <c r="H5" s="71">
        <v>1363.0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7" t="s">
        <v>104</v>
      </c>
      <c r="B6" s="67" t="s">
        <v>107</v>
      </c>
      <c r="C6" s="68" t="s">
        <v>61</v>
      </c>
      <c r="D6" s="69">
        <v>2007.0</v>
      </c>
      <c r="E6" s="70"/>
      <c r="F6" s="71" t="s">
        <v>111</v>
      </c>
      <c r="G6" s="71">
        <v>1360.0</v>
      </c>
      <c r="H6" s="71">
        <v>1360.0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67" t="s">
        <v>104</v>
      </c>
      <c r="B7" s="67" t="s">
        <v>107</v>
      </c>
      <c r="C7" s="68" t="s">
        <v>61</v>
      </c>
      <c r="D7" s="69">
        <v>2008.0</v>
      </c>
      <c r="E7" s="70"/>
      <c r="F7" s="71" t="s">
        <v>112</v>
      </c>
      <c r="G7" s="71">
        <v>1357.0</v>
      </c>
      <c r="H7" s="71">
        <v>1357.0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67" t="s">
        <v>89</v>
      </c>
      <c r="B8" s="67" t="s">
        <v>113</v>
      </c>
      <c r="C8" s="68" t="s">
        <v>61</v>
      </c>
      <c r="D8" s="69">
        <v>2009.0</v>
      </c>
      <c r="E8" s="70"/>
      <c r="F8" s="71" t="s">
        <v>114</v>
      </c>
      <c r="G8" s="71">
        <v>553.0</v>
      </c>
      <c r="H8" s="71">
        <v>553.0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67" t="s">
        <v>89</v>
      </c>
      <c r="B9" s="67" t="s">
        <v>91</v>
      </c>
      <c r="C9" s="68" t="s">
        <v>61</v>
      </c>
      <c r="D9" s="69">
        <v>2010.0</v>
      </c>
      <c r="E9" s="70"/>
      <c r="F9" s="71" t="s">
        <v>115</v>
      </c>
      <c r="G9" s="72"/>
      <c r="H9" s="72"/>
      <c r="I9" s="73" t="s">
        <v>116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67" t="s">
        <v>89</v>
      </c>
      <c r="B10" s="67" t="s">
        <v>91</v>
      </c>
      <c r="C10" s="68" t="s">
        <v>61</v>
      </c>
      <c r="D10" s="69">
        <v>2011.0</v>
      </c>
      <c r="E10" s="70"/>
      <c r="F10" s="71" t="s">
        <v>117</v>
      </c>
      <c r="G10" s="72"/>
      <c r="H10" s="72"/>
      <c r="I10" s="73" t="s">
        <v>118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67" t="s">
        <v>104</v>
      </c>
      <c r="B11" s="67" t="s">
        <v>105</v>
      </c>
      <c r="C11" s="68" t="s">
        <v>61</v>
      </c>
      <c r="D11" s="69">
        <v>2012.0</v>
      </c>
      <c r="E11" s="70"/>
      <c r="F11" s="71" t="s">
        <v>119</v>
      </c>
      <c r="G11" s="71">
        <v>1372.0</v>
      </c>
      <c r="H11" s="71">
        <v>1372.0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41" t="s">
        <v>104</v>
      </c>
      <c r="B12" s="41" t="s">
        <v>105</v>
      </c>
      <c r="C12" s="18" t="s">
        <v>61</v>
      </c>
      <c r="D12" s="40">
        <v>2013.0</v>
      </c>
      <c r="E12" s="41" t="s">
        <v>120</v>
      </c>
      <c r="F12" s="66" t="s">
        <v>121</v>
      </c>
      <c r="G12" s="66">
        <v>1375.0</v>
      </c>
      <c r="H12" s="66">
        <v>1375.0</v>
      </c>
    </row>
    <row r="13">
      <c r="A13" s="67" t="s">
        <v>104</v>
      </c>
      <c r="B13" s="67" t="s">
        <v>105</v>
      </c>
      <c r="C13" s="68" t="s">
        <v>61</v>
      </c>
      <c r="D13" s="69">
        <v>2014.0</v>
      </c>
      <c r="E13" s="70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67" t="s">
        <v>104</v>
      </c>
      <c r="B14" s="67" t="s">
        <v>105</v>
      </c>
      <c r="C14" s="68" t="s">
        <v>61</v>
      </c>
      <c r="D14" s="69">
        <v>2015.0</v>
      </c>
      <c r="E14" s="70"/>
      <c r="F14" s="71" t="s">
        <v>122</v>
      </c>
      <c r="G14" s="71">
        <v>1369.0</v>
      </c>
      <c r="H14" s="71">
        <v>1369.0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67" t="s">
        <v>104</v>
      </c>
      <c r="B15" s="67" t="s">
        <v>105</v>
      </c>
      <c r="C15" s="68" t="s">
        <v>61</v>
      </c>
      <c r="D15" s="69">
        <v>2016.0</v>
      </c>
      <c r="E15" s="67" t="s">
        <v>123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67" t="s">
        <v>124</v>
      </c>
      <c r="B16" s="67" t="s">
        <v>124</v>
      </c>
      <c r="C16" s="68" t="s">
        <v>61</v>
      </c>
      <c r="D16" s="69">
        <v>2020.0</v>
      </c>
      <c r="E16" s="70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67" t="s">
        <v>124</v>
      </c>
      <c r="B17" s="67" t="s">
        <v>124</v>
      </c>
      <c r="C17" s="68" t="s">
        <v>61</v>
      </c>
      <c r="D17" s="69">
        <v>2021.0</v>
      </c>
      <c r="E17" s="70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67" t="s">
        <v>124</v>
      </c>
      <c r="B18" s="67" t="s">
        <v>124</v>
      </c>
      <c r="C18" s="68" t="s">
        <v>56</v>
      </c>
      <c r="D18" s="69">
        <v>2022.0</v>
      </c>
      <c r="E18" s="70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67" t="s">
        <v>124</v>
      </c>
      <c r="B19" s="67" t="s">
        <v>124</v>
      </c>
      <c r="C19" s="68" t="s">
        <v>56</v>
      </c>
      <c r="D19" s="69">
        <v>2023.0</v>
      </c>
      <c r="E19" s="70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67" t="s">
        <v>124</v>
      </c>
      <c r="B20" s="67" t="s">
        <v>124</v>
      </c>
      <c r="C20" s="68" t="s">
        <v>61</v>
      </c>
      <c r="D20" s="69">
        <v>2024.0</v>
      </c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67" t="s">
        <v>124</v>
      </c>
      <c r="B21" s="67" t="s">
        <v>124</v>
      </c>
      <c r="C21" s="68" t="s">
        <v>61</v>
      </c>
      <c r="D21" s="69">
        <v>2025.0</v>
      </c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67" t="s">
        <v>124</v>
      </c>
      <c r="B22" s="67" t="s">
        <v>125</v>
      </c>
      <c r="C22" s="68" t="s">
        <v>61</v>
      </c>
      <c r="D22" s="69">
        <v>2026.0</v>
      </c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67" t="s">
        <v>124</v>
      </c>
      <c r="B23" s="67" t="s">
        <v>125</v>
      </c>
      <c r="C23" s="68" t="s">
        <v>61</v>
      </c>
      <c r="D23" s="69">
        <v>2027.0</v>
      </c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67" t="s">
        <v>124</v>
      </c>
      <c r="B24" s="67" t="s">
        <v>125</v>
      </c>
      <c r="C24" s="68" t="s">
        <v>61</v>
      </c>
      <c r="D24" s="69">
        <v>2028.0</v>
      </c>
      <c r="E24" s="70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7" t="s">
        <v>124</v>
      </c>
      <c r="B25" s="67" t="s">
        <v>125</v>
      </c>
      <c r="C25" s="68" t="s">
        <v>56</v>
      </c>
      <c r="D25" s="69">
        <v>2029.0</v>
      </c>
      <c r="E25" s="70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7" t="s">
        <v>124</v>
      </c>
      <c r="B26" s="67" t="s">
        <v>125</v>
      </c>
      <c r="C26" s="68" t="s">
        <v>56</v>
      </c>
      <c r="D26" s="69">
        <v>2030.0</v>
      </c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7" t="s">
        <v>124</v>
      </c>
      <c r="B27" s="67" t="s">
        <v>125</v>
      </c>
      <c r="C27" s="68" t="s">
        <v>61</v>
      </c>
      <c r="D27" s="69">
        <v>2031.0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7" t="s">
        <v>98</v>
      </c>
      <c r="B28" s="67" t="s">
        <v>105</v>
      </c>
      <c r="C28" s="68" t="s">
        <v>61</v>
      </c>
      <c r="D28" s="69">
        <v>2085.0</v>
      </c>
      <c r="E28" s="67" t="s">
        <v>126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7" t="s">
        <v>98</v>
      </c>
      <c r="B29" s="67" t="s">
        <v>105</v>
      </c>
      <c r="C29" s="68" t="s">
        <v>61</v>
      </c>
      <c r="D29" s="69">
        <v>2086.0</v>
      </c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7" t="s">
        <v>98</v>
      </c>
      <c r="B30" s="67" t="s">
        <v>105</v>
      </c>
      <c r="C30" s="68" t="s">
        <v>61</v>
      </c>
      <c r="D30" s="69">
        <v>2087.0</v>
      </c>
      <c r="E30" s="70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7" t="s">
        <v>98</v>
      </c>
      <c r="B31" s="67" t="s">
        <v>105</v>
      </c>
      <c r="C31" s="68" t="s">
        <v>61</v>
      </c>
      <c r="D31" s="69">
        <v>2088.0</v>
      </c>
      <c r="E31" s="70"/>
      <c r="F31" s="71" t="s">
        <v>127</v>
      </c>
      <c r="G31" s="71">
        <v>1327.0</v>
      </c>
      <c r="H31" s="71">
        <v>1327.0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67" t="s">
        <v>98</v>
      </c>
      <c r="B32" s="67" t="s">
        <v>105</v>
      </c>
      <c r="C32" s="68" t="s">
        <v>56</v>
      </c>
      <c r="D32" s="69">
        <v>2089.0</v>
      </c>
      <c r="E32" s="70"/>
      <c r="F32" s="71" t="s">
        <v>128</v>
      </c>
      <c r="G32" s="71">
        <v>1345.0</v>
      </c>
      <c r="H32" s="71">
        <v>1345.0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67" t="s">
        <v>98</v>
      </c>
      <c r="B33" s="67" t="s">
        <v>105</v>
      </c>
      <c r="C33" s="68" t="s">
        <v>61</v>
      </c>
      <c r="D33" s="69">
        <v>2090.0</v>
      </c>
      <c r="E33" s="70"/>
      <c r="F33" s="71" t="s">
        <v>129</v>
      </c>
      <c r="G33" s="71">
        <v>1339.0</v>
      </c>
      <c r="H33" s="71">
        <v>1339.0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67" t="s">
        <v>98</v>
      </c>
      <c r="B34" s="67" t="s">
        <v>105</v>
      </c>
      <c r="C34" s="68" t="s">
        <v>56</v>
      </c>
      <c r="D34" s="69">
        <v>2091.0</v>
      </c>
      <c r="E34" s="70"/>
      <c r="F34" s="71" t="s">
        <v>130</v>
      </c>
      <c r="G34" s="71">
        <v>1336.0</v>
      </c>
      <c r="H34" s="71">
        <v>1336.0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67" t="s">
        <v>98</v>
      </c>
      <c r="B35" s="67" t="s">
        <v>105</v>
      </c>
      <c r="C35" s="68" t="s">
        <v>56</v>
      </c>
      <c r="D35" s="69">
        <v>2092.0</v>
      </c>
      <c r="E35" s="70"/>
      <c r="F35" s="71" t="s">
        <v>131</v>
      </c>
      <c r="G35" s="71">
        <v>1333.0</v>
      </c>
      <c r="H35" s="71">
        <v>1333.0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67" t="s">
        <v>98</v>
      </c>
      <c r="B36" s="67" t="s">
        <v>105</v>
      </c>
      <c r="C36" s="68" t="s">
        <v>56</v>
      </c>
      <c r="D36" s="69">
        <v>2093.0</v>
      </c>
      <c r="E36" s="70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68" t="s">
        <v>89</v>
      </c>
      <c r="B37" s="68" t="s">
        <v>113</v>
      </c>
      <c r="C37" s="68" t="s">
        <v>56</v>
      </c>
      <c r="D37" s="43">
        <v>2301.0</v>
      </c>
      <c r="E37" s="70"/>
      <c r="F37" s="71" t="s">
        <v>132</v>
      </c>
      <c r="G37" s="71"/>
      <c r="H37" s="71"/>
      <c r="I37" s="73" t="s">
        <v>133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8" t="s">
        <v>89</v>
      </c>
      <c r="B38" s="18" t="s">
        <v>113</v>
      </c>
      <c r="C38" s="18" t="s">
        <v>61</v>
      </c>
      <c r="D38" s="37">
        <v>2302.0</v>
      </c>
      <c r="E38" s="2"/>
    </row>
    <row r="39">
      <c r="A39" s="18" t="s">
        <v>89</v>
      </c>
      <c r="B39" s="18" t="s">
        <v>113</v>
      </c>
      <c r="C39" s="18" t="s">
        <v>61</v>
      </c>
      <c r="D39" s="37">
        <v>2303.0</v>
      </c>
      <c r="E39" s="2"/>
    </row>
    <row r="40">
      <c r="A40" s="18" t="s">
        <v>89</v>
      </c>
      <c r="B40" s="18" t="s">
        <v>113</v>
      </c>
      <c r="C40" s="18" t="s">
        <v>61</v>
      </c>
      <c r="D40" s="37">
        <v>2304.0</v>
      </c>
      <c r="E40" s="2"/>
    </row>
    <row r="41">
      <c r="A41" s="18" t="s">
        <v>89</v>
      </c>
      <c r="B41" s="18" t="s">
        <v>113</v>
      </c>
      <c r="C41" s="18" t="s">
        <v>61</v>
      </c>
      <c r="D41" s="37">
        <v>2305.0</v>
      </c>
      <c r="E41" s="2"/>
    </row>
    <row r="42">
      <c r="A42" s="18" t="s">
        <v>89</v>
      </c>
      <c r="B42" s="18" t="s">
        <v>113</v>
      </c>
      <c r="C42" s="18" t="s">
        <v>61</v>
      </c>
      <c r="D42" s="37">
        <v>2306.0</v>
      </c>
      <c r="E42" s="2"/>
    </row>
    <row r="43">
      <c r="A43" s="18" t="s">
        <v>89</v>
      </c>
      <c r="B43" s="18" t="s">
        <v>113</v>
      </c>
      <c r="C43" s="18" t="s">
        <v>61</v>
      </c>
      <c r="D43" s="37">
        <v>2307.0</v>
      </c>
      <c r="E43" s="2"/>
    </row>
    <row r="44">
      <c r="A44" s="18" t="s">
        <v>89</v>
      </c>
      <c r="B44" s="18" t="s">
        <v>113</v>
      </c>
      <c r="C44" s="18" t="s">
        <v>61</v>
      </c>
      <c r="D44" s="37">
        <v>2308.0</v>
      </c>
      <c r="E44" s="2"/>
    </row>
    <row r="45">
      <c r="A45" s="18" t="s">
        <v>89</v>
      </c>
      <c r="B45" s="18" t="s">
        <v>113</v>
      </c>
      <c r="C45" s="18" t="s">
        <v>61</v>
      </c>
      <c r="D45" s="37">
        <v>2309.0</v>
      </c>
      <c r="E45" s="2"/>
    </row>
    <row r="46">
      <c r="A46" s="18" t="s">
        <v>89</v>
      </c>
      <c r="B46" s="18" t="s">
        <v>134</v>
      </c>
      <c r="C46" s="18" t="s">
        <v>61</v>
      </c>
      <c r="D46" s="37">
        <v>2310.0</v>
      </c>
      <c r="E46" s="2"/>
    </row>
    <row r="47">
      <c r="A47" s="18" t="s">
        <v>89</v>
      </c>
      <c r="B47" s="18" t="s">
        <v>134</v>
      </c>
      <c r="C47" s="18" t="s">
        <v>61</v>
      </c>
      <c r="D47" s="37">
        <v>2311.0</v>
      </c>
      <c r="E47" s="2"/>
    </row>
    <row r="48">
      <c r="A48" s="18" t="s">
        <v>89</v>
      </c>
      <c r="B48" s="18" t="s">
        <v>134</v>
      </c>
      <c r="C48" s="18" t="s">
        <v>61</v>
      </c>
      <c r="D48" s="37">
        <v>2312.0</v>
      </c>
      <c r="E48" s="2"/>
    </row>
    <row r="49">
      <c r="A49" s="18" t="s">
        <v>89</v>
      </c>
      <c r="B49" s="18" t="s">
        <v>134</v>
      </c>
      <c r="C49" s="18" t="s">
        <v>61</v>
      </c>
      <c r="D49" s="37">
        <v>2313.0</v>
      </c>
      <c r="E49" s="2"/>
    </row>
    <row r="50">
      <c r="A50" s="18" t="s">
        <v>89</v>
      </c>
      <c r="B50" s="18" t="s">
        <v>134</v>
      </c>
      <c r="C50" s="18" t="s">
        <v>61</v>
      </c>
      <c r="D50" s="37">
        <v>2314.0</v>
      </c>
      <c r="E50" s="2"/>
    </row>
    <row r="51">
      <c r="A51" s="18" t="s">
        <v>89</v>
      </c>
      <c r="B51" s="18" t="s">
        <v>134</v>
      </c>
      <c r="C51" s="18" t="s">
        <v>56</v>
      </c>
      <c r="D51" s="37">
        <v>2315.0</v>
      </c>
      <c r="E51" s="2"/>
    </row>
    <row r="52">
      <c r="A52" s="18" t="s">
        <v>89</v>
      </c>
      <c r="B52" s="18" t="s">
        <v>134</v>
      </c>
      <c r="C52" s="18" t="s">
        <v>61</v>
      </c>
      <c r="D52" s="37">
        <v>2316.0</v>
      </c>
      <c r="E52" s="2"/>
    </row>
    <row r="53">
      <c r="A53" s="18" t="s">
        <v>89</v>
      </c>
      <c r="B53" s="18" t="s">
        <v>134</v>
      </c>
      <c r="C53" s="18" t="s">
        <v>61</v>
      </c>
      <c r="D53" s="37">
        <v>2317.0</v>
      </c>
      <c r="E53" s="2"/>
    </row>
    <row r="54">
      <c r="A54" s="18" t="s">
        <v>89</v>
      </c>
      <c r="B54" s="18" t="s">
        <v>134</v>
      </c>
      <c r="C54" s="18" t="s">
        <v>61</v>
      </c>
      <c r="D54" s="37">
        <v>2318.0</v>
      </c>
      <c r="E54" s="2"/>
    </row>
    <row r="55">
      <c r="A55" s="18" t="s">
        <v>89</v>
      </c>
      <c r="B55" s="18" t="s">
        <v>134</v>
      </c>
      <c r="C55" s="18" t="s">
        <v>61</v>
      </c>
      <c r="D55" s="37">
        <v>2319.0</v>
      </c>
      <c r="E55" s="2"/>
    </row>
    <row r="56">
      <c r="A56" s="18" t="s">
        <v>89</v>
      </c>
      <c r="B56" s="18" t="s">
        <v>134</v>
      </c>
      <c r="C56" s="18" t="s">
        <v>56</v>
      </c>
      <c r="D56" s="37">
        <v>2320.0</v>
      </c>
      <c r="E56" s="2"/>
    </row>
    <row r="57">
      <c r="A57" s="18" t="s">
        <v>89</v>
      </c>
      <c r="B57" s="18" t="s">
        <v>134</v>
      </c>
      <c r="C57" s="18" t="s">
        <v>61</v>
      </c>
      <c r="D57" s="37">
        <v>2321.0</v>
      </c>
      <c r="E57" s="2"/>
    </row>
    <row r="58">
      <c r="A58" s="18" t="s">
        <v>89</v>
      </c>
      <c r="B58" s="18" t="s">
        <v>134</v>
      </c>
      <c r="C58" s="18" t="s">
        <v>56</v>
      </c>
      <c r="D58" s="37">
        <v>2322.0</v>
      </c>
      <c r="E58" s="2"/>
    </row>
    <row r="59">
      <c r="A59" s="18" t="s">
        <v>89</v>
      </c>
      <c r="B59" s="18" t="s">
        <v>134</v>
      </c>
      <c r="C59" s="18" t="s">
        <v>56</v>
      </c>
      <c r="D59" s="37">
        <v>2323.0</v>
      </c>
      <c r="E59" s="2"/>
    </row>
    <row r="60">
      <c r="A60" s="18" t="s">
        <v>89</v>
      </c>
      <c r="B60" s="18" t="s">
        <v>134</v>
      </c>
      <c r="C60" s="18" t="s">
        <v>61</v>
      </c>
      <c r="D60" s="37">
        <v>2324.0</v>
      </c>
      <c r="E60" s="2"/>
    </row>
    <row r="61">
      <c r="A61" s="18" t="s">
        <v>89</v>
      </c>
      <c r="B61" s="18" t="s">
        <v>134</v>
      </c>
      <c r="C61" s="18" t="s">
        <v>61</v>
      </c>
      <c r="D61" s="37">
        <v>2325.0</v>
      </c>
      <c r="E61" s="2"/>
    </row>
    <row r="62">
      <c r="A62" s="18" t="s">
        <v>89</v>
      </c>
      <c r="B62" s="18" t="s">
        <v>134</v>
      </c>
      <c r="C62" s="18" t="s">
        <v>61</v>
      </c>
      <c r="D62" s="37">
        <v>2326.0</v>
      </c>
      <c r="E62" s="2"/>
    </row>
    <row r="63">
      <c r="A63" s="18" t="s">
        <v>89</v>
      </c>
      <c r="B63" s="18" t="s">
        <v>134</v>
      </c>
      <c r="C63" s="18" t="s">
        <v>61</v>
      </c>
      <c r="D63" s="37">
        <v>2327.0</v>
      </c>
      <c r="E63" s="2"/>
    </row>
    <row r="64">
      <c r="A64" s="18" t="s">
        <v>89</v>
      </c>
      <c r="B64" s="18" t="s">
        <v>134</v>
      </c>
      <c r="C64" s="18" t="s">
        <v>56</v>
      </c>
      <c r="D64" s="37">
        <v>2328.0</v>
      </c>
      <c r="E64" s="2"/>
    </row>
    <row r="65">
      <c r="A65" s="18" t="s">
        <v>89</v>
      </c>
      <c r="B65" s="18" t="s">
        <v>134</v>
      </c>
      <c r="C65" s="18" t="s">
        <v>61</v>
      </c>
      <c r="D65" s="37">
        <v>2329.0</v>
      </c>
      <c r="E65" s="2"/>
    </row>
    <row r="66">
      <c r="A66" s="18" t="s">
        <v>89</v>
      </c>
      <c r="B66" s="18" t="s">
        <v>134</v>
      </c>
      <c r="C66" s="18" t="s">
        <v>61</v>
      </c>
      <c r="D66" s="37">
        <v>2330.0</v>
      </c>
      <c r="E66" s="2"/>
    </row>
    <row r="67">
      <c r="A67" s="68" t="s">
        <v>89</v>
      </c>
      <c r="B67" s="68" t="s">
        <v>134</v>
      </c>
      <c r="C67" s="68" t="s">
        <v>56</v>
      </c>
      <c r="D67" s="74">
        <v>2331.0</v>
      </c>
      <c r="E67" s="70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8" t="s">
        <v>89</v>
      </c>
      <c r="B68" s="18" t="s">
        <v>134</v>
      </c>
      <c r="C68" s="18" t="s">
        <v>61</v>
      </c>
      <c r="D68" s="37">
        <v>2332.0</v>
      </c>
      <c r="E68" s="2"/>
    </row>
    <row r="69">
      <c r="A69" s="18" t="s">
        <v>89</v>
      </c>
      <c r="B69" s="18" t="s">
        <v>134</v>
      </c>
      <c r="C69" s="18" t="s">
        <v>61</v>
      </c>
      <c r="D69" s="37">
        <v>2333.0</v>
      </c>
      <c r="E69" s="2"/>
    </row>
    <row r="70">
      <c r="A70" s="18" t="s">
        <v>89</v>
      </c>
      <c r="B70" s="18" t="s">
        <v>134</v>
      </c>
      <c r="C70" s="18" t="s">
        <v>61</v>
      </c>
      <c r="D70" s="37">
        <v>2334.0</v>
      </c>
      <c r="E70" s="2"/>
    </row>
    <row r="71">
      <c r="A71" s="18" t="s">
        <v>89</v>
      </c>
      <c r="B71" s="18" t="s">
        <v>134</v>
      </c>
      <c r="C71" s="18" t="s">
        <v>61</v>
      </c>
      <c r="D71" s="37">
        <v>2335.0</v>
      </c>
      <c r="E71" s="2"/>
    </row>
    <row r="72">
      <c r="A72" s="18" t="s">
        <v>89</v>
      </c>
      <c r="B72" s="18" t="s">
        <v>134</v>
      </c>
      <c r="C72" s="18" t="s">
        <v>61</v>
      </c>
      <c r="D72" s="37">
        <v>2336.0</v>
      </c>
      <c r="E72" s="2"/>
    </row>
    <row r="73">
      <c r="A73" s="18" t="s">
        <v>89</v>
      </c>
      <c r="B73" s="18" t="s">
        <v>113</v>
      </c>
      <c r="C73" s="18" t="s">
        <v>61</v>
      </c>
      <c r="D73" s="37">
        <v>2337.0</v>
      </c>
      <c r="E73" s="2"/>
    </row>
    <row r="74">
      <c r="A74" s="18" t="s">
        <v>89</v>
      </c>
      <c r="B74" s="18" t="s">
        <v>113</v>
      </c>
      <c r="C74" s="18" t="s">
        <v>61</v>
      </c>
      <c r="D74" s="37">
        <v>2338.0</v>
      </c>
      <c r="E74" s="2"/>
    </row>
    <row r="75">
      <c r="A75" s="18" t="s">
        <v>89</v>
      </c>
      <c r="B75" s="18" t="s">
        <v>113</v>
      </c>
      <c r="C75" s="18" t="s">
        <v>61</v>
      </c>
      <c r="D75" s="37">
        <v>2339.0</v>
      </c>
      <c r="E75" s="2"/>
    </row>
    <row r="76">
      <c r="A76" s="18" t="s">
        <v>89</v>
      </c>
      <c r="B76" s="18" t="s">
        <v>113</v>
      </c>
      <c r="C76" s="18" t="s">
        <v>61</v>
      </c>
      <c r="D76" s="37">
        <v>2340.0</v>
      </c>
      <c r="E76" s="2"/>
    </row>
    <row r="77">
      <c r="A77" s="18" t="s">
        <v>89</v>
      </c>
      <c r="B77" s="18" t="s">
        <v>113</v>
      </c>
      <c r="C77" s="18" t="s">
        <v>61</v>
      </c>
      <c r="D77" s="37">
        <v>2341.0</v>
      </c>
      <c r="E77" s="2"/>
    </row>
    <row r="78">
      <c r="A78" s="18" t="s">
        <v>89</v>
      </c>
      <c r="B78" s="18" t="s">
        <v>113</v>
      </c>
      <c r="C78" s="18" t="s">
        <v>61</v>
      </c>
      <c r="D78" s="37">
        <v>2342.0</v>
      </c>
      <c r="E78" s="2"/>
    </row>
    <row r="79">
      <c r="A79" s="68" t="s">
        <v>89</v>
      </c>
      <c r="B79" s="68" t="s">
        <v>113</v>
      </c>
      <c r="C79" s="68" t="s">
        <v>61</v>
      </c>
      <c r="D79" s="74">
        <v>2343.0</v>
      </c>
      <c r="E79" s="67"/>
      <c r="F79" s="67" t="s">
        <v>135</v>
      </c>
      <c r="G79" s="71">
        <v>551.0</v>
      </c>
      <c r="H79" s="71">
        <v>551.0</v>
      </c>
      <c r="I79" s="73" t="s">
        <v>136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5" t="s">
        <v>89</v>
      </c>
      <c r="B80" s="75" t="s">
        <v>113</v>
      </c>
      <c r="C80" s="75" t="s">
        <v>61</v>
      </c>
      <c r="D80" s="76">
        <v>2344.0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68" t="s">
        <v>89</v>
      </c>
      <c r="B81" s="68" t="s">
        <v>113</v>
      </c>
      <c r="C81" s="68" t="s">
        <v>56</v>
      </c>
      <c r="D81" s="74">
        <v>2345.0</v>
      </c>
      <c r="E81" s="70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68" t="s">
        <v>89</v>
      </c>
      <c r="B82" s="68" t="s">
        <v>113</v>
      </c>
      <c r="C82" s="68" t="s">
        <v>61</v>
      </c>
      <c r="D82" s="74">
        <v>2346.0</v>
      </c>
      <c r="E82" s="70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68" t="s">
        <v>89</v>
      </c>
      <c r="B83" s="68" t="s">
        <v>113</v>
      </c>
      <c r="C83" s="68" t="s">
        <v>61</v>
      </c>
      <c r="D83" s="74">
        <v>2347.0</v>
      </c>
      <c r="E83" s="70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68" t="s">
        <v>89</v>
      </c>
      <c r="B84" s="68" t="s">
        <v>113</v>
      </c>
      <c r="C84" s="68" t="s">
        <v>61</v>
      </c>
      <c r="D84" s="74">
        <v>2348.0</v>
      </c>
      <c r="E84" s="70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68" t="s">
        <v>89</v>
      </c>
      <c r="B85" s="68" t="s">
        <v>113</v>
      </c>
      <c r="C85" s="68" t="s">
        <v>61</v>
      </c>
      <c r="D85" s="74">
        <v>2349.0</v>
      </c>
      <c r="E85" s="70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8" t="s">
        <v>89</v>
      </c>
      <c r="B86" s="18" t="s">
        <v>113</v>
      </c>
      <c r="C86" s="18" t="s">
        <v>61</v>
      </c>
      <c r="D86" s="37">
        <v>2350.0</v>
      </c>
      <c r="E86" s="2"/>
    </row>
    <row r="87">
      <c r="A87" s="18" t="s">
        <v>89</v>
      </c>
      <c r="B87" s="18" t="s">
        <v>113</v>
      </c>
      <c r="C87" s="18" t="s">
        <v>61</v>
      </c>
      <c r="D87" s="37">
        <v>2351.0</v>
      </c>
      <c r="E87" s="2"/>
    </row>
    <row r="88">
      <c r="A88" s="68" t="s">
        <v>89</v>
      </c>
      <c r="B88" s="68" t="s">
        <v>137</v>
      </c>
      <c r="C88" s="68" t="s">
        <v>56</v>
      </c>
      <c r="D88" s="74">
        <v>2352.0</v>
      </c>
      <c r="E88" s="70"/>
      <c r="F88" s="71" t="s">
        <v>138</v>
      </c>
      <c r="G88" s="71">
        <v>469.0</v>
      </c>
      <c r="H88" s="71">
        <v>469.0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8" t="s">
        <v>89</v>
      </c>
      <c r="B89" s="18" t="s">
        <v>137</v>
      </c>
      <c r="C89" s="18" t="s">
        <v>56</v>
      </c>
      <c r="D89" s="37">
        <v>2353.0</v>
      </c>
      <c r="E89" s="2"/>
    </row>
    <row r="90">
      <c r="A90" s="68" t="s">
        <v>89</v>
      </c>
      <c r="B90" s="68" t="s">
        <v>137</v>
      </c>
      <c r="C90" s="68" t="s">
        <v>56</v>
      </c>
      <c r="D90" s="74">
        <v>2354.0</v>
      </c>
      <c r="E90" s="70"/>
      <c r="F90" s="71" t="s">
        <v>139</v>
      </c>
      <c r="G90" s="71"/>
      <c r="H90" s="71"/>
      <c r="I90" s="71" t="s">
        <v>140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8" t="s">
        <v>89</v>
      </c>
      <c r="B91" s="18" t="s">
        <v>137</v>
      </c>
      <c r="C91" s="18" t="s">
        <v>61</v>
      </c>
      <c r="D91" s="37">
        <v>2355.0</v>
      </c>
      <c r="E91" s="2"/>
    </row>
    <row r="92">
      <c r="A92" s="18" t="s">
        <v>89</v>
      </c>
      <c r="B92" s="18" t="s">
        <v>137</v>
      </c>
      <c r="C92" s="18" t="s">
        <v>61</v>
      </c>
      <c r="D92" s="37">
        <v>2356.0</v>
      </c>
      <c r="E92" s="2"/>
    </row>
    <row r="93">
      <c r="A93" s="18" t="s">
        <v>89</v>
      </c>
      <c r="B93" s="18" t="s">
        <v>137</v>
      </c>
      <c r="C93" s="18" t="s">
        <v>61</v>
      </c>
      <c r="D93" s="37">
        <v>2357.0</v>
      </c>
      <c r="E93" s="2"/>
    </row>
    <row r="94">
      <c r="A94" s="18" t="s">
        <v>89</v>
      </c>
      <c r="B94" s="18" t="s">
        <v>137</v>
      </c>
      <c r="C94" s="18" t="s">
        <v>61</v>
      </c>
      <c r="D94" s="37">
        <v>2358.0</v>
      </c>
      <c r="E94" s="2"/>
    </row>
    <row r="95">
      <c r="A95" s="18" t="s">
        <v>89</v>
      </c>
      <c r="B95" s="18" t="s">
        <v>137</v>
      </c>
      <c r="C95" s="18" t="s">
        <v>61</v>
      </c>
      <c r="D95" s="37">
        <v>2359.0</v>
      </c>
      <c r="E95" s="2"/>
    </row>
    <row r="96">
      <c r="A96" s="68" t="s">
        <v>89</v>
      </c>
      <c r="B96" s="68" t="s">
        <v>137</v>
      </c>
      <c r="C96" s="68" t="s">
        <v>61</v>
      </c>
      <c r="D96" s="74">
        <v>2360.0</v>
      </c>
      <c r="E96" s="70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8" t="s">
        <v>89</v>
      </c>
      <c r="B97" s="18" t="s">
        <v>137</v>
      </c>
      <c r="C97" s="18" t="s">
        <v>61</v>
      </c>
      <c r="D97" s="37">
        <v>2361.0</v>
      </c>
      <c r="E97" s="2"/>
    </row>
    <row r="98">
      <c r="A98" s="18" t="s">
        <v>89</v>
      </c>
      <c r="B98" s="18" t="s">
        <v>137</v>
      </c>
      <c r="C98" s="18" t="s">
        <v>61</v>
      </c>
      <c r="D98" s="37">
        <v>2362.0</v>
      </c>
      <c r="E98" s="2"/>
    </row>
    <row r="99">
      <c r="A99" s="18" t="s">
        <v>89</v>
      </c>
      <c r="B99" s="18" t="s">
        <v>137</v>
      </c>
      <c r="C99" s="18" t="s">
        <v>61</v>
      </c>
      <c r="D99" s="37">
        <v>2363.0</v>
      </c>
      <c r="E99" s="2"/>
    </row>
    <row r="100">
      <c r="A100" s="18" t="s">
        <v>89</v>
      </c>
      <c r="B100" s="18" t="s">
        <v>137</v>
      </c>
      <c r="C100" s="18" t="s">
        <v>61</v>
      </c>
      <c r="D100" s="37">
        <v>2364.0</v>
      </c>
      <c r="E100" s="2"/>
    </row>
    <row r="101">
      <c r="A101" s="68" t="s">
        <v>89</v>
      </c>
      <c r="B101" s="68" t="s">
        <v>137</v>
      </c>
      <c r="C101" s="68" t="s">
        <v>61</v>
      </c>
      <c r="D101" s="74">
        <v>2365.0</v>
      </c>
      <c r="E101" s="70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68" t="s">
        <v>89</v>
      </c>
      <c r="B102" s="68" t="s">
        <v>137</v>
      </c>
      <c r="C102" s="68" t="s">
        <v>61</v>
      </c>
      <c r="D102" s="74">
        <v>2366.0</v>
      </c>
      <c r="E102" s="70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68" t="s">
        <v>89</v>
      </c>
      <c r="B103" s="68" t="s">
        <v>137</v>
      </c>
      <c r="C103" s="68" t="s">
        <v>61</v>
      </c>
      <c r="D103" s="74">
        <v>2367.0</v>
      </c>
      <c r="E103" s="70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68" t="s">
        <v>89</v>
      </c>
      <c r="B104" s="68" t="s">
        <v>137</v>
      </c>
      <c r="C104" s="68" t="s">
        <v>61</v>
      </c>
      <c r="D104" s="74">
        <v>2369.0</v>
      </c>
      <c r="E104" s="70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68" t="s">
        <v>89</v>
      </c>
      <c r="B105" s="68" t="s">
        <v>113</v>
      </c>
      <c r="C105" s="68" t="s">
        <v>61</v>
      </c>
      <c r="D105" s="74">
        <v>2370.0</v>
      </c>
      <c r="E105" s="70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68" t="s">
        <v>89</v>
      </c>
      <c r="B106" s="68" t="s">
        <v>113</v>
      </c>
      <c r="C106" s="68" t="s">
        <v>61</v>
      </c>
      <c r="D106" s="74">
        <v>2371.0</v>
      </c>
      <c r="E106" s="70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68" t="s">
        <v>89</v>
      </c>
      <c r="B107" s="68" t="s">
        <v>113</v>
      </c>
      <c r="C107" s="68" t="s">
        <v>61</v>
      </c>
      <c r="D107" s="74">
        <v>2372.0</v>
      </c>
      <c r="E107" s="70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8" t="s">
        <v>89</v>
      </c>
      <c r="B108" s="18" t="s">
        <v>113</v>
      </c>
      <c r="C108" s="18" t="s">
        <v>61</v>
      </c>
      <c r="D108" s="37">
        <v>2373.0</v>
      </c>
      <c r="E108" s="2"/>
    </row>
    <row r="109">
      <c r="A109" s="18" t="s">
        <v>89</v>
      </c>
      <c r="B109" s="18" t="s">
        <v>134</v>
      </c>
      <c r="C109" s="18" t="s">
        <v>61</v>
      </c>
      <c r="D109" s="37">
        <v>2374.0</v>
      </c>
      <c r="E109" s="2"/>
    </row>
    <row r="110">
      <c r="A110" s="68" t="s">
        <v>89</v>
      </c>
      <c r="B110" s="68" t="s">
        <v>113</v>
      </c>
      <c r="C110" s="68" t="s">
        <v>61</v>
      </c>
      <c r="D110" s="74">
        <v>2375.0</v>
      </c>
      <c r="E110" s="70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68" t="s">
        <v>89</v>
      </c>
      <c r="B111" s="68" t="s">
        <v>137</v>
      </c>
      <c r="C111" s="68" t="s">
        <v>56</v>
      </c>
      <c r="D111" s="74">
        <v>2376.0</v>
      </c>
      <c r="E111" s="70"/>
      <c r="F111" s="71" t="s">
        <v>141</v>
      </c>
      <c r="G111" s="71">
        <v>472.0</v>
      </c>
      <c r="H111" s="71">
        <v>472.0</v>
      </c>
      <c r="I111" s="73" t="s">
        <v>142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68" t="s">
        <v>89</v>
      </c>
      <c r="B112" s="68" t="s">
        <v>143</v>
      </c>
      <c r="C112" s="68" t="s">
        <v>56</v>
      </c>
      <c r="D112" s="74">
        <v>2377.0</v>
      </c>
      <c r="E112" s="70"/>
      <c r="F112" s="71" t="s">
        <v>144</v>
      </c>
      <c r="G112" s="71">
        <v>481.0</v>
      </c>
      <c r="H112" s="71">
        <v>481.0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68" t="s">
        <v>89</v>
      </c>
      <c r="B113" s="68" t="s">
        <v>143</v>
      </c>
      <c r="C113" s="68" t="s">
        <v>61</v>
      </c>
      <c r="D113" s="74">
        <v>2378.0</v>
      </c>
      <c r="E113" s="70"/>
      <c r="F113" s="71" t="s">
        <v>145</v>
      </c>
      <c r="G113" s="71"/>
      <c r="H113" s="71"/>
      <c r="I113" s="73" t="s">
        <v>146</v>
      </c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68" t="s">
        <v>89</v>
      </c>
      <c r="B114" s="68" t="s">
        <v>143</v>
      </c>
      <c r="C114" s="68" t="s">
        <v>61</v>
      </c>
      <c r="D114" s="74">
        <v>2379.0</v>
      </c>
      <c r="E114" s="70"/>
      <c r="F114" s="71" t="s">
        <v>147</v>
      </c>
      <c r="G114" s="71"/>
      <c r="H114" s="71"/>
      <c r="I114" s="73" t="s">
        <v>148</v>
      </c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68" t="s">
        <v>89</v>
      </c>
      <c r="B115" s="68" t="s">
        <v>143</v>
      </c>
      <c r="C115" s="68" t="s">
        <v>56</v>
      </c>
      <c r="D115" s="74">
        <v>2380.0</v>
      </c>
      <c r="E115" s="70"/>
      <c r="F115" s="71" t="s">
        <v>149</v>
      </c>
      <c r="G115" s="71"/>
      <c r="H115" s="71"/>
      <c r="I115" s="73" t="s">
        <v>150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68" t="s">
        <v>89</v>
      </c>
      <c r="B116" s="68" t="s">
        <v>91</v>
      </c>
      <c r="C116" s="68" t="s">
        <v>61</v>
      </c>
      <c r="D116" s="74">
        <v>2381.0</v>
      </c>
      <c r="E116" s="70"/>
      <c r="F116" s="71" t="s">
        <v>151</v>
      </c>
      <c r="G116" s="71"/>
      <c r="H116" s="71"/>
      <c r="I116" s="73" t="s">
        <v>152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68" t="s">
        <v>89</v>
      </c>
      <c r="B117" s="68" t="s">
        <v>91</v>
      </c>
      <c r="C117" s="68" t="s">
        <v>61</v>
      </c>
      <c r="D117" s="74">
        <v>2382.0</v>
      </c>
      <c r="E117" s="70"/>
      <c r="F117" s="71" t="s">
        <v>153</v>
      </c>
      <c r="G117" s="71"/>
      <c r="H117" s="71"/>
      <c r="I117" s="73" t="s">
        <v>154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68" t="s">
        <v>89</v>
      </c>
      <c r="B118" s="68" t="s">
        <v>91</v>
      </c>
      <c r="C118" s="68" t="s">
        <v>61</v>
      </c>
      <c r="D118" s="69">
        <v>2383.0</v>
      </c>
      <c r="E118" s="70"/>
      <c r="F118" s="71" t="s">
        <v>155</v>
      </c>
      <c r="G118" s="71">
        <v>454.0</v>
      </c>
      <c r="H118" s="71">
        <v>454.0</v>
      </c>
      <c r="I118" s="71" t="s">
        <v>156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68" t="s">
        <v>89</v>
      </c>
      <c r="B119" s="68" t="s">
        <v>91</v>
      </c>
      <c r="C119" s="68" t="s">
        <v>61</v>
      </c>
      <c r="D119" s="69">
        <v>2384.0</v>
      </c>
      <c r="E119" s="70"/>
      <c r="F119" s="71" t="s">
        <v>157</v>
      </c>
      <c r="G119" s="71">
        <v>448.0</v>
      </c>
      <c r="H119" s="71">
        <v>448.0</v>
      </c>
      <c r="I119" s="71" t="s">
        <v>158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41" t="s">
        <v>124</v>
      </c>
      <c r="B120" s="41" t="s">
        <v>124</v>
      </c>
      <c r="C120" s="18" t="s">
        <v>95</v>
      </c>
      <c r="D120" s="41" t="s">
        <v>159</v>
      </c>
      <c r="E120" s="2"/>
    </row>
    <row r="121">
      <c r="A121" s="41" t="s">
        <v>124</v>
      </c>
      <c r="B121" s="41" t="s">
        <v>124</v>
      </c>
      <c r="C121" s="18" t="s">
        <v>160</v>
      </c>
      <c r="D121" s="41" t="s">
        <v>161</v>
      </c>
      <c r="E121" s="2"/>
    </row>
    <row r="122">
      <c r="A122" s="41" t="s">
        <v>104</v>
      </c>
      <c r="B122" s="41" t="s">
        <v>107</v>
      </c>
      <c r="C122" s="18" t="s">
        <v>95</v>
      </c>
      <c r="D122" s="41" t="s">
        <v>162</v>
      </c>
      <c r="E122" s="2"/>
    </row>
    <row r="123">
      <c r="A123" s="41" t="s">
        <v>104</v>
      </c>
      <c r="B123" s="41" t="s">
        <v>107</v>
      </c>
      <c r="C123" s="18" t="s">
        <v>160</v>
      </c>
      <c r="D123" s="41" t="s">
        <v>163</v>
      </c>
      <c r="E123" s="2"/>
    </row>
    <row r="124">
      <c r="A124" s="41" t="s">
        <v>89</v>
      </c>
      <c r="B124" s="41" t="s">
        <v>143</v>
      </c>
      <c r="C124" s="18" t="s">
        <v>95</v>
      </c>
      <c r="D124" s="41" t="s">
        <v>164</v>
      </c>
      <c r="E124" s="2"/>
    </row>
    <row r="125">
      <c r="A125" s="41" t="s">
        <v>89</v>
      </c>
      <c r="B125" s="41" t="s">
        <v>143</v>
      </c>
      <c r="C125" s="18" t="s">
        <v>160</v>
      </c>
      <c r="D125" s="41" t="s">
        <v>165</v>
      </c>
      <c r="E125" s="2"/>
    </row>
    <row r="126">
      <c r="A126" s="41" t="s">
        <v>166</v>
      </c>
      <c r="B126" s="41" t="s">
        <v>166</v>
      </c>
      <c r="C126" s="18" t="s">
        <v>166</v>
      </c>
      <c r="D126" s="40">
        <v>2084.0</v>
      </c>
      <c r="E126" s="41" t="s">
        <v>167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04" t="s">
        <v>368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H7" s="82">
        <v>44664.0</v>
      </c>
      <c r="AJ7" s="66">
        <v>2.202</v>
      </c>
      <c r="AK7" s="66">
        <v>0.0878</v>
      </c>
      <c r="AL7" s="135">
        <v>0.057</v>
      </c>
      <c r="AM7" s="66">
        <v>2.741</v>
      </c>
      <c r="AN7" s="131">
        <v>0.1413</v>
      </c>
      <c r="AO7" s="135">
        <v>0.0803</v>
      </c>
      <c r="AP7" s="66">
        <v>2.591</v>
      </c>
      <c r="AQ7" s="66">
        <v>0.1226</v>
      </c>
      <c r="AR7" s="135">
        <v>0.0715</v>
      </c>
      <c r="AS7" s="66">
        <v>3.751</v>
      </c>
      <c r="AT7" s="66">
        <v>0.1454</v>
      </c>
      <c r="AU7" s="135">
        <v>0.0827</v>
      </c>
      <c r="BE7" s="66">
        <v>0.4554</v>
      </c>
      <c r="BF7" s="135">
        <v>0.2494</v>
      </c>
      <c r="BH7" s="135" t="s">
        <v>369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H9" s="82">
        <v>44664.0</v>
      </c>
      <c r="AJ9" s="66">
        <v>1.465</v>
      </c>
      <c r="AK9" s="66">
        <v>0.0994</v>
      </c>
      <c r="AL9" s="135">
        <v>0.0534</v>
      </c>
      <c r="AM9" s="66">
        <v>1.871</v>
      </c>
      <c r="AN9" s="66">
        <v>0.1666</v>
      </c>
      <c r="AO9" s="135">
        <v>0.0898</v>
      </c>
      <c r="AP9" s="66">
        <v>1.576</v>
      </c>
      <c r="AQ9" s="66">
        <v>0.0879</v>
      </c>
      <c r="AR9" s="135">
        <v>0.0475</v>
      </c>
      <c r="BE9" s="66">
        <v>1.414</v>
      </c>
      <c r="BF9" s="135">
        <v>0.6109</v>
      </c>
      <c r="BH9" s="135" t="s">
        <v>370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H18" s="82">
        <v>44664.0</v>
      </c>
      <c r="AJ18" s="66">
        <v>2.371</v>
      </c>
      <c r="AK18" s="66">
        <v>0.1261</v>
      </c>
      <c r="AL18" s="135">
        <v>0.0701</v>
      </c>
      <c r="AM18" s="66">
        <v>2.84</v>
      </c>
      <c r="AN18" s="66">
        <v>0.1071</v>
      </c>
      <c r="AO18" s="135">
        <v>0.0593</v>
      </c>
      <c r="AP18" s="66">
        <v>2.481</v>
      </c>
      <c r="AQ18" s="66">
        <v>0.1076</v>
      </c>
      <c r="AR18" s="135">
        <v>0.0601</v>
      </c>
      <c r="AS18" s="66">
        <v>2.389</v>
      </c>
      <c r="AT18" s="66">
        <v>0.1311</v>
      </c>
      <c r="AU18" s="135">
        <v>0.0737</v>
      </c>
      <c r="BE18" s="66">
        <v>0.1871</v>
      </c>
      <c r="BF18" s="135">
        <v>0.1026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H24" s="82">
        <v>44664.0</v>
      </c>
      <c r="AJ24" s="66">
        <v>1.565</v>
      </c>
      <c r="AK24" s="66">
        <v>0.0741</v>
      </c>
      <c r="AL24" s="135">
        <v>0.0398</v>
      </c>
      <c r="AM24" s="66">
        <v>1.406</v>
      </c>
      <c r="AN24" s="66">
        <v>0.0667</v>
      </c>
      <c r="AO24" s="135">
        <v>0.0363</v>
      </c>
      <c r="AP24" s="66">
        <v>1.781</v>
      </c>
      <c r="AQ24" s="66">
        <v>0.0949</v>
      </c>
      <c r="AR24" s="135">
        <v>0.0495</v>
      </c>
      <c r="AS24" s="66">
        <v>2.234</v>
      </c>
      <c r="AT24" s="66">
        <v>0.0775</v>
      </c>
      <c r="AU24" s="135">
        <v>0.0412</v>
      </c>
      <c r="AV24" s="66">
        <v>2.148</v>
      </c>
      <c r="AW24" s="66">
        <v>0.0899</v>
      </c>
      <c r="AX24" s="135">
        <v>0.0481</v>
      </c>
      <c r="AY24" s="66">
        <v>1.668</v>
      </c>
      <c r="AZ24" s="66">
        <v>0.0634</v>
      </c>
      <c r="BA24" s="135">
        <v>0.0336</v>
      </c>
      <c r="BE24" s="66">
        <v>1.3667</v>
      </c>
      <c r="BF24" s="135">
        <v>0.7295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H27" s="82">
        <v>44664.0</v>
      </c>
      <c r="AJ27" s="66">
        <v>2.371</v>
      </c>
      <c r="AK27" s="66">
        <v>0.1249</v>
      </c>
      <c r="AL27" s="135">
        <v>0.0674</v>
      </c>
      <c r="AM27" s="66">
        <v>2.345</v>
      </c>
      <c r="AN27" s="66">
        <v>0.0995</v>
      </c>
      <c r="AO27" s="135">
        <v>0.0608</v>
      </c>
      <c r="AP27" s="66">
        <v>2.138</v>
      </c>
      <c r="AQ27" s="66">
        <v>0.0768</v>
      </c>
      <c r="AR27" s="135">
        <v>0.0541</v>
      </c>
      <c r="AS27" s="66">
        <v>1.433</v>
      </c>
      <c r="AT27" s="66">
        <v>0.1145</v>
      </c>
      <c r="AU27" s="135">
        <v>0.0419</v>
      </c>
      <c r="BE27" s="66">
        <v>1.0848</v>
      </c>
      <c r="BF27" s="135">
        <v>0.5775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H30" s="82">
        <v>44664.0</v>
      </c>
      <c r="AJ30" s="66">
        <v>2.491</v>
      </c>
      <c r="AK30" s="66">
        <v>0.0903</v>
      </c>
      <c r="AM30" s="66">
        <v>2.831</v>
      </c>
      <c r="AN30" s="66">
        <v>0.0756</v>
      </c>
      <c r="AP30" s="66">
        <v>2.887</v>
      </c>
      <c r="AQ30" s="66">
        <v>0.0759</v>
      </c>
      <c r="AS30" s="66">
        <v>2.458</v>
      </c>
      <c r="AT30" s="66">
        <v>0.0631</v>
      </c>
      <c r="BE30" s="66">
        <v>0.7108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H31" s="82">
        <v>44664.0</v>
      </c>
      <c r="AJ31" s="66">
        <v>1.416</v>
      </c>
      <c r="AK31" s="66">
        <v>0.2999</v>
      </c>
      <c r="AL31" s="135">
        <v>0.1769</v>
      </c>
      <c r="AM31" s="66">
        <v>1.671</v>
      </c>
      <c r="AN31" s="66">
        <v>0.1737</v>
      </c>
      <c r="AO31" s="135">
        <v>0.1089</v>
      </c>
      <c r="AP31" s="66">
        <v>1.591</v>
      </c>
      <c r="AQ31" s="66">
        <v>0.1913</v>
      </c>
      <c r="AR31" s="135">
        <v>0.1179</v>
      </c>
      <c r="BE31" s="66">
        <v>2.0487</v>
      </c>
      <c r="BF31" s="135">
        <v>1.2531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H32" s="82">
        <v>44664.0</v>
      </c>
      <c r="AJ32" s="66">
        <v>2.007</v>
      </c>
      <c r="AK32" s="66">
        <v>0.1913</v>
      </c>
      <c r="AL32" s="135">
        <v>0.1038</v>
      </c>
      <c r="AM32" s="66">
        <v>1.591</v>
      </c>
      <c r="AN32" s="66">
        <v>0.4163</v>
      </c>
      <c r="AO32" s="135">
        <v>0.23</v>
      </c>
      <c r="AP32" s="66">
        <v>1.843</v>
      </c>
      <c r="AQ32" s="66">
        <v>0.1818</v>
      </c>
      <c r="AR32" s="135">
        <v>0.1009</v>
      </c>
      <c r="AS32" s="66">
        <v>2.089</v>
      </c>
      <c r="AT32" s="66">
        <v>0.1119</v>
      </c>
      <c r="AU32" s="135">
        <v>0.0633</v>
      </c>
      <c r="AV32" s="66">
        <v>2.1616</v>
      </c>
      <c r="AW32" s="66">
        <v>0.1539</v>
      </c>
      <c r="AX32" s="135">
        <v>0.0843</v>
      </c>
      <c r="AY32" s="66">
        <v>1.69</v>
      </c>
      <c r="AZ32" s="66">
        <v>0.3259</v>
      </c>
      <c r="BB32" s="66">
        <v>1.941</v>
      </c>
      <c r="BC32" s="66">
        <v>0.3294</v>
      </c>
      <c r="BE32" s="66">
        <v>1.3205</v>
      </c>
      <c r="BF32" s="135">
        <v>0.7148</v>
      </c>
      <c r="BH32" s="135" t="s">
        <v>371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H33" s="82">
        <v>44664.0</v>
      </c>
      <c r="AJ33" s="66">
        <v>1.651</v>
      </c>
      <c r="AK33" s="66">
        <v>0.118</v>
      </c>
      <c r="AL33" s="135">
        <v>0.0627</v>
      </c>
      <c r="AM33" s="66">
        <v>1.591</v>
      </c>
      <c r="AN33" s="66">
        <v>0.101</v>
      </c>
      <c r="AO33" s="135">
        <v>0.0535</v>
      </c>
      <c r="BE33" s="66">
        <v>1.1839</v>
      </c>
      <c r="BF33" s="135">
        <v>0.634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H34" s="82">
        <v>44664.0</v>
      </c>
      <c r="AJ34" s="66">
        <v>2.145</v>
      </c>
      <c r="AK34" s="66">
        <v>0.1263</v>
      </c>
      <c r="AL34" s="135">
        <v>0.0706</v>
      </c>
      <c r="AM34" s="66">
        <v>3.17</v>
      </c>
      <c r="AN34" s="66">
        <v>0.2091</v>
      </c>
      <c r="AO34" s="135">
        <v>0.1195</v>
      </c>
      <c r="AP34" s="66">
        <v>2.032</v>
      </c>
      <c r="AQ34" s="66">
        <v>0.0986</v>
      </c>
      <c r="AR34" s="135">
        <v>0.0557</v>
      </c>
      <c r="AS34" s="66">
        <v>2.691</v>
      </c>
      <c r="AT34" s="66">
        <v>0.1127</v>
      </c>
      <c r="AU34" s="135">
        <v>0.0643</v>
      </c>
      <c r="AV34" s="66">
        <v>2.177</v>
      </c>
      <c r="AW34" s="66">
        <v>0.1799</v>
      </c>
      <c r="AX34" s="135">
        <v>0.1023</v>
      </c>
      <c r="BE34" s="66">
        <v>1.707</v>
      </c>
      <c r="BF34" s="135">
        <v>0.9419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H35" s="82">
        <v>44664.0</v>
      </c>
      <c r="AJ35" s="66">
        <v>0.961</v>
      </c>
      <c r="AK35" s="66">
        <v>0.2316</v>
      </c>
      <c r="AL35" s="135">
        <v>0.1473</v>
      </c>
      <c r="AM35" s="66">
        <v>0.768</v>
      </c>
      <c r="AN35" s="66">
        <v>0.2412</v>
      </c>
      <c r="AO35" s="135">
        <v>0.1552</v>
      </c>
      <c r="AP35" s="66">
        <v>0.766</v>
      </c>
      <c r="AQ35" s="66">
        <v>0.2421</v>
      </c>
      <c r="AR35" s="135">
        <v>0.1552</v>
      </c>
      <c r="BE35" s="66">
        <v>1.7381</v>
      </c>
      <c r="BF35" s="135">
        <v>1.1364</v>
      </c>
      <c r="BH35" s="135" t="s">
        <v>372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H42" s="82">
        <v>44664.0</v>
      </c>
      <c r="AJ42" s="66">
        <v>1.855</v>
      </c>
      <c r="AK42" s="66">
        <v>0.1773</v>
      </c>
      <c r="AL42" s="135">
        <v>0.0951</v>
      </c>
      <c r="AM42" s="66">
        <v>1.791</v>
      </c>
      <c r="AN42" s="66">
        <v>0.4233</v>
      </c>
      <c r="AO42" s="135">
        <v>0.1269</v>
      </c>
      <c r="AP42" s="66">
        <v>2.013</v>
      </c>
      <c r="AQ42" s="66">
        <v>0.2277</v>
      </c>
      <c r="AR42" s="135">
        <v>0.1197</v>
      </c>
      <c r="BE42" s="66">
        <v>1.6339</v>
      </c>
      <c r="BF42" s="135">
        <v>0.8441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H46" s="82">
        <v>44664.0</v>
      </c>
      <c r="AJ46" s="66">
        <v>2.132</v>
      </c>
      <c r="AK46" s="66">
        <v>0.2274</v>
      </c>
      <c r="AL46" s="135">
        <v>0.138</v>
      </c>
      <c r="AM46" s="66">
        <v>2.323</v>
      </c>
      <c r="AN46" s="66">
        <v>0.162</v>
      </c>
      <c r="AO46" s="135">
        <v>0.1026</v>
      </c>
      <c r="AP46" s="66">
        <v>2.719</v>
      </c>
      <c r="AQ46" s="66">
        <v>0.2327</v>
      </c>
      <c r="AR46" s="135">
        <v>0.1458</v>
      </c>
      <c r="AS46" s="66">
        <v>2.691</v>
      </c>
      <c r="AT46" s="66">
        <v>0.1581</v>
      </c>
      <c r="AU46" s="135">
        <v>0.0978</v>
      </c>
      <c r="BE46" s="66">
        <v>0.6893</v>
      </c>
      <c r="BF46" s="135">
        <v>0.4184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H47" s="82">
        <v>44664.0</v>
      </c>
      <c r="AJ47" s="66">
        <v>1.912</v>
      </c>
      <c r="AK47" s="66">
        <v>0.6419</v>
      </c>
      <c r="AL47" s="135">
        <v>0.024</v>
      </c>
      <c r="AM47" s="66">
        <v>2.112</v>
      </c>
      <c r="AN47" s="66">
        <v>0.0434</v>
      </c>
      <c r="AO47" s="135">
        <v>0.0257</v>
      </c>
      <c r="AP47" s="66">
        <v>1.92</v>
      </c>
      <c r="AQ47" s="66">
        <v>0.0544</v>
      </c>
      <c r="AR47" s="135">
        <v>0.0319</v>
      </c>
      <c r="BE47" s="66">
        <v>0.9752</v>
      </c>
      <c r="BF47" s="135">
        <v>0.5555</v>
      </c>
      <c r="BH47" s="135" t="s">
        <v>373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AJ48" s="66">
        <v>1.71</v>
      </c>
      <c r="AK48" s="66">
        <v>0.1245</v>
      </c>
      <c r="AL48" s="135">
        <v>0.0663</v>
      </c>
      <c r="AM48" s="66">
        <v>1.411</v>
      </c>
      <c r="AN48" s="66">
        <v>0.0919</v>
      </c>
      <c r="AO48" s="135">
        <v>0.0489</v>
      </c>
      <c r="AP48" s="66">
        <v>1.556</v>
      </c>
      <c r="AQ48" s="66">
        <v>0.1069</v>
      </c>
      <c r="AR48" s="135">
        <v>0.0573</v>
      </c>
      <c r="BE48" s="66">
        <v>0.9688</v>
      </c>
      <c r="BF48" s="135">
        <v>0.4937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H53" s="82">
        <v>44664.0</v>
      </c>
      <c r="AJ53" s="66">
        <v>2.101</v>
      </c>
      <c r="AK53" s="66">
        <v>0.117</v>
      </c>
      <c r="AL53" s="135">
        <v>0.0607</v>
      </c>
      <c r="AM53" s="66">
        <v>1.841</v>
      </c>
      <c r="AN53" s="66">
        <v>0.1187</v>
      </c>
      <c r="AO53" s="135">
        <v>0.0613</v>
      </c>
      <c r="AP53" s="66">
        <v>1.845</v>
      </c>
      <c r="AQ53" s="66">
        <v>0.1654</v>
      </c>
      <c r="AR53" s="135">
        <v>0.0863</v>
      </c>
      <c r="BE53" s="66">
        <v>1.2328</v>
      </c>
      <c r="BF53" s="135">
        <v>0.6189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H75" s="82">
        <v>44664.0</v>
      </c>
      <c r="AJ75" s="66">
        <v>2.621</v>
      </c>
      <c r="AK75" s="66">
        <v>0.2453</v>
      </c>
      <c r="AL75" s="135">
        <v>0.1573</v>
      </c>
      <c r="AM75" s="66">
        <v>3.201</v>
      </c>
      <c r="AN75" s="66">
        <v>0.2303</v>
      </c>
      <c r="AO75" s="135">
        <v>0.1507</v>
      </c>
      <c r="AP75" s="66">
        <v>3.31</v>
      </c>
      <c r="AQ75" s="66">
        <v>1.292</v>
      </c>
      <c r="AR75" s="135">
        <v>0.0836</v>
      </c>
      <c r="AS75" s="66">
        <v>1.716</v>
      </c>
      <c r="AT75" s="66">
        <v>0.175</v>
      </c>
      <c r="AU75" s="135">
        <v>0.1108</v>
      </c>
      <c r="AV75" s="66">
        <v>4.381</v>
      </c>
      <c r="AW75" s="66">
        <v>0.1594</v>
      </c>
      <c r="AX75" s="135" t="s">
        <v>374</v>
      </c>
      <c r="BA75" s="135">
        <v>0.1025</v>
      </c>
      <c r="BE75" s="66">
        <v>0.9695</v>
      </c>
      <c r="BF75" s="135">
        <v>0.6203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H81" s="82">
        <v>44664.0</v>
      </c>
      <c r="AJ81" s="66">
        <v>1.716</v>
      </c>
      <c r="AK81" s="66">
        <v>0.1518</v>
      </c>
      <c r="AL81" s="135">
        <v>0.0788</v>
      </c>
      <c r="AM81" s="66">
        <v>1.665</v>
      </c>
      <c r="AN81" s="66">
        <v>0.1184</v>
      </c>
      <c r="AO81" s="135">
        <v>0.0609</v>
      </c>
      <c r="BE81" s="66">
        <v>0.797</v>
      </c>
      <c r="BF81" s="135">
        <v>0.3975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H82" s="82">
        <v>44664.0</v>
      </c>
      <c r="AJ82" s="66">
        <v>1.687</v>
      </c>
      <c r="AK82" s="66">
        <v>0.2724</v>
      </c>
      <c r="AL82" s="135">
        <v>0.1724</v>
      </c>
      <c r="AM82" s="66">
        <v>1.354</v>
      </c>
      <c r="AN82" s="66">
        <v>0.2635</v>
      </c>
      <c r="AO82" s="135">
        <v>0.161</v>
      </c>
      <c r="AP82" s="66">
        <v>1.695</v>
      </c>
      <c r="AQ82" s="66">
        <v>0.3579</v>
      </c>
      <c r="AR82" s="135">
        <v>0.2252</v>
      </c>
      <c r="AS82" s="66">
        <v>1.761</v>
      </c>
      <c r="AT82" s="66">
        <v>0.1859</v>
      </c>
      <c r="AU82" s="135">
        <v>0.1117</v>
      </c>
      <c r="BE82" s="66">
        <v>2.4479</v>
      </c>
      <c r="BF82" s="135">
        <v>1.5263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H91" s="82">
        <v>44664.0</v>
      </c>
      <c r="AJ91" s="66">
        <v>1.381</v>
      </c>
      <c r="AK91" s="66">
        <v>0.0672</v>
      </c>
      <c r="AL91" s="135">
        <v>0.0352</v>
      </c>
      <c r="AM91" s="66">
        <v>1.491</v>
      </c>
      <c r="AN91" s="66">
        <v>0.0683</v>
      </c>
      <c r="AO91" s="135">
        <v>0.0352</v>
      </c>
      <c r="AP91" s="66">
        <v>1.341</v>
      </c>
      <c r="AQ91" s="66">
        <v>0.06</v>
      </c>
      <c r="AR91" s="135">
        <v>0.0305</v>
      </c>
      <c r="BF91" s="135">
        <v>0.3384</v>
      </c>
      <c r="BG91" s="66">
        <v>0.659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H92" s="82">
        <v>44664.0</v>
      </c>
      <c r="AJ92" s="66">
        <v>1.41</v>
      </c>
      <c r="AK92" s="66">
        <v>0.1116</v>
      </c>
      <c r="AL92" s="135">
        <v>0.0539</v>
      </c>
      <c r="AM92" s="66">
        <v>1.287</v>
      </c>
      <c r="AN92" s="66">
        <v>0.1036</v>
      </c>
      <c r="AO92" s="135">
        <v>0.0506</v>
      </c>
      <c r="AP92" s="66">
        <v>1.542</v>
      </c>
      <c r="AQ92" s="66">
        <v>0.1264</v>
      </c>
      <c r="AR92" s="135">
        <v>0.0609</v>
      </c>
      <c r="BE92" s="66">
        <v>0.8623</v>
      </c>
      <c r="BF92" s="135">
        <v>0.4127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H105" s="82">
        <v>44664.0</v>
      </c>
      <c r="AJ105" s="66">
        <v>3.12</v>
      </c>
      <c r="AK105" s="66">
        <v>0.4781</v>
      </c>
      <c r="AM105" s="66">
        <v>3.268</v>
      </c>
      <c r="AN105" s="66">
        <v>0.4347</v>
      </c>
      <c r="AP105" s="66">
        <v>3.271</v>
      </c>
      <c r="AQ105" s="66">
        <v>0.3135</v>
      </c>
      <c r="AS105" s="66">
        <v>3.092</v>
      </c>
      <c r="AT105" s="66">
        <v>0.2895</v>
      </c>
      <c r="AV105" s="66">
        <v>3.161</v>
      </c>
      <c r="AW105" s="66">
        <v>0.5488</v>
      </c>
      <c r="AY105" s="66">
        <v>3.281</v>
      </c>
      <c r="AZ105" s="66">
        <v>0.3362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H106" s="82">
        <v>44664.0</v>
      </c>
      <c r="AJ106" s="66">
        <v>2.444</v>
      </c>
      <c r="AK106" s="66">
        <v>0.1283</v>
      </c>
      <c r="AM106" s="66">
        <v>2.701</v>
      </c>
      <c r="AN106" s="66">
        <v>0.105</v>
      </c>
      <c r="AP106" s="66">
        <v>1.912</v>
      </c>
      <c r="AQ106" s="66">
        <v>0.1787</v>
      </c>
      <c r="AS106" s="66">
        <v>2.161</v>
      </c>
      <c r="AT106" s="66">
        <v>0.1455</v>
      </c>
      <c r="AV106" s="66">
        <v>2.188</v>
      </c>
      <c r="AW106" s="66">
        <v>0.101</v>
      </c>
      <c r="AY106" s="66">
        <v>2.412</v>
      </c>
      <c r="AZ106" s="66">
        <v>0.0505</v>
      </c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H107" s="82">
        <v>44664.0</v>
      </c>
      <c r="AJ107" s="66">
        <v>1.541</v>
      </c>
      <c r="AK107" s="135">
        <v>0.1056</v>
      </c>
      <c r="AL107" s="135">
        <v>0.1088</v>
      </c>
      <c r="AM107" s="66">
        <v>1.726</v>
      </c>
      <c r="AN107" s="135">
        <v>0.1146</v>
      </c>
      <c r="AO107" s="135">
        <v>0.1181</v>
      </c>
      <c r="AP107" s="66">
        <v>1.515</v>
      </c>
      <c r="AQ107" s="135">
        <v>0.0657</v>
      </c>
      <c r="AR107" s="135">
        <v>0.0661</v>
      </c>
      <c r="BE107" s="135">
        <v>0.8771</v>
      </c>
      <c r="BF107" s="135">
        <v>1.1974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H110" s="82">
        <v>44664.0</v>
      </c>
      <c r="AJ110" s="66">
        <v>2.341</v>
      </c>
      <c r="AK110" s="66">
        <v>0.2279</v>
      </c>
      <c r="AL110" s="135">
        <v>0.129</v>
      </c>
      <c r="AM110" s="66">
        <v>1.472</v>
      </c>
      <c r="AN110" s="66">
        <v>0.0821</v>
      </c>
      <c r="AO110" s="135">
        <v>0.0471</v>
      </c>
      <c r="AP110" s="66">
        <v>2.129</v>
      </c>
      <c r="AQ110" s="66">
        <v>0.1125</v>
      </c>
      <c r="AR110" s="135">
        <v>0.0643</v>
      </c>
      <c r="AS110" s="66">
        <v>1.541</v>
      </c>
      <c r="AT110" s="66">
        <v>0.1844</v>
      </c>
      <c r="AU110" s="135">
        <v>0.1053</v>
      </c>
      <c r="AV110" s="66">
        <v>1.338</v>
      </c>
      <c r="AW110" s="66">
        <v>0.229</v>
      </c>
      <c r="AX110" s="135">
        <v>0.1289</v>
      </c>
      <c r="BE110" s="66">
        <v>1.5818</v>
      </c>
      <c r="BF110" s="135">
        <v>0.8618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AJ111" s="66">
        <v>2.041</v>
      </c>
      <c r="AK111" s="66">
        <v>0.1011</v>
      </c>
      <c r="AL111" s="135">
        <v>0.0583</v>
      </c>
      <c r="AM111" s="66">
        <v>1.379</v>
      </c>
      <c r="AN111" s="66">
        <v>0.1822</v>
      </c>
      <c r="AO111" s="135">
        <v>0.1047</v>
      </c>
      <c r="AP111" s="66">
        <v>2.187</v>
      </c>
      <c r="AQ111" s="66">
        <v>0.1032</v>
      </c>
      <c r="AR111" s="135">
        <v>0.0639</v>
      </c>
      <c r="AU111" s="135">
        <v>0.06</v>
      </c>
      <c r="BE111" s="66">
        <v>1.5293</v>
      </c>
      <c r="BF111" s="135">
        <v>0.8493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H112" s="82">
        <v>44664.0</v>
      </c>
      <c r="AJ112" s="66">
        <v>1.531</v>
      </c>
      <c r="AK112" s="66">
        <v>0.1245</v>
      </c>
      <c r="AL112" s="135">
        <v>0.0692</v>
      </c>
      <c r="AM112" s="66">
        <v>1.476</v>
      </c>
      <c r="AN112" s="66">
        <v>0.107</v>
      </c>
      <c r="AO112" s="135">
        <v>0.0594</v>
      </c>
      <c r="AP112" s="66">
        <v>1.372</v>
      </c>
      <c r="AQ112" s="66">
        <v>0.1139</v>
      </c>
      <c r="AR112" s="135">
        <v>0.0638</v>
      </c>
      <c r="BE112" s="66">
        <v>0.9628</v>
      </c>
      <c r="BF112" s="135">
        <v>0.5346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H113" s="82">
        <v>44665.0</v>
      </c>
      <c r="AJ113" s="66">
        <v>2.2</v>
      </c>
      <c r="AK113" s="66">
        <v>0.0499</v>
      </c>
      <c r="AL113" s="135">
        <v>0.0284</v>
      </c>
      <c r="AM113" s="66">
        <v>2.2</v>
      </c>
      <c r="AN113" s="66">
        <v>0.0691</v>
      </c>
      <c r="AO113" s="135">
        <v>0.0392</v>
      </c>
      <c r="AP113" s="66" t="s">
        <v>375</v>
      </c>
      <c r="AQ113" s="66">
        <v>0.0675</v>
      </c>
      <c r="AR113" s="135">
        <v>0.0361</v>
      </c>
      <c r="BE113" s="66">
        <v>1.0136</v>
      </c>
      <c r="BF113" s="135">
        <v>0.5484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H114" s="82">
        <v>44664.0</v>
      </c>
      <c r="AJ114" s="66">
        <v>1.666</v>
      </c>
      <c r="AK114" s="66">
        <v>0.2058</v>
      </c>
      <c r="AL114" s="135">
        <v>0.1089</v>
      </c>
      <c r="AM114" s="66">
        <v>1.561</v>
      </c>
      <c r="AN114" s="66">
        <v>0.1357</v>
      </c>
      <c r="AO114" s="135">
        <v>0.0713</v>
      </c>
      <c r="AP114" s="66">
        <v>1.623</v>
      </c>
      <c r="AQ114" s="66">
        <v>0.1623</v>
      </c>
      <c r="AR114" s="135">
        <v>0.0857</v>
      </c>
      <c r="BE114" s="66">
        <v>3.0145</v>
      </c>
      <c r="BF114" s="135">
        <v>1.5488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H115" s="82">
        <v>44664.0</v>
      </c>
      <c r="AJ115" s="66">
        <v>1.94</v>
      </c>
      <c r="AK115" s="66">
        <v>0.1003</v>
      </c>
      <c r="AL115" s="135">
        <v>0.0568</v>
      </c>
      <c r="AM115" s="66">
        <v>1.641</v>
      </c>
      <c r="AN115" s="66">
        <v>0.1783</v>
      </c>
      <c r="AO115" s="135">
        <v>0.1008</v>
      </c>
      <c r="AP115" s="66">
        <v>1.6</v>
      </c>
      <c r="AQ115" s="66">
        <v>0.1836</v>
      </c>
      <c r="AR115" s="135">
        <v>0.1028</v>
      </c>
      <c r="BE115" s="66">
        <v>3.1646</v>
      </c>
      <c r="BF115" s="135">
        <v>1.7009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H116" s="82">
        <v>44665.0</v>
      </c>
      <c r="AJ116" s="66">
        <v>1.8</v>
      </c>
      <c r="AK116" s="131">
        <v>824.0</v>
      </c>
      <c r="AL116" s="135">
        <v>0.0474</v>
      </c>
      <c r="AM116" s="66">
        <v>1.72</v>
      </c>
      <c r="AN116" s="66">
        <v>0.0831</v>
      </c>
      <c r="AO116" s="135">
        <v>0.0476</v>
      </c>
      <c r="AP116" s="66">
        <v>1.6</v>
      </c>
      <c r="AQ116" s="66">
        <v>0.0559</v>
      </c>
      <c r="AR116" s="135">
        <v>0.0319</v>
      </c>
      <c r="BE116" s="66">
        <v>2.3146</v>
      </c>
      <c r="BF116" s="135">
        <v>1.176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AL117" s="66">
        <v>0.0572</v>
      </c>
      <c r="AO117" s="66">
        <v>0.0496</v>
      </c>
      <c r="AR117" s="66">
        <v>0.0708</v>
      </c>
      <c r="AU117" s="66">
        <v>0.0609</v>
      </c>
      <c r="AX117" s="66">
        <v>0.0411</v>
      </c>
      <c r="BA117" s="66">
        <v>0.0218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H119" s="82">
        <v>44664.0</v>
      </c>
      <c r="AJ119" s="66">
        <v>2.013</v>
      </c>
      <c r="AK119" s="66">
        <v>0.1077</v>
      </c>
      <c r="AL119" s="66">
        <v>0.0516</v>
      </c>
      <c r="AM119" s="66">
        <v>1.801</v>
      </c>
      <c r="AN119" s="66">
        <v>0.1256</v>
      </c>
      <c r="AO119" s="66">
        <v>0.06</v>
      </c>
      <c r="AP119" s="66">
        <v>2.415</v>
      </c>
      <c r="AQ119" s="66">
        <v>0.0672</v>
      </c>
      <c r="AR119" s="66">
        <v>0.0323</v>
      </c>
      <c r="AS119" s="66">
        <v>2.221</v>
      </c>
      <c r="AT119" s="66">
        <v>0.1134</v>
      </c>
      <c r="AU119" s="66">
        <v>0.0515</v>
      </c>
      <c r="AV119" s="66">
        <v>1.921</v>
      </c>
      <c r="AW119" s="66">
        <v>0.1821</v>
      </c>
      <c r="AX119" s="66">
        <v>0.0807</v>
      </c>
      <c r="AY119" s="66">
        <v>1.821</v>
      </c>
      <c r="AZ119" s="66">
        <v>0.0808</v>
      </c>
      <c r="BA119" s="66">
        <v>0.0416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3.348</v>
      </c>
      <c r="AK120" s="66">
        <v>0.4609</v>
      </c>
      <c r="AL120" s="66">
        <v>0.1886</v>
      </c>
      <c r="AM120" s="66">
        <v>3.443</v>
      </c>
      <c r="AN120" s="66">
        <v>0.4494</v>
      </c>
      <c r="AO120" s="66">
        <v>0.1869</v>
      </c>
      <c r="AP120" s="66">
        <v>3.46</v>
      </c>
      <c r="AQ120" s="66">
        <v>0.4409</v>
      </c>
      <c r="AR120" s="66">
        <v>0.1325</v>
      </c>
      <c r="AS120" s="66">
        <v>3.476</v>
      </c>
      <c r="AT120" s="66">
        <v>0.4148</v>
      </c>
      <c r="AU120" s="66">
        <v>0.1228</v>
      </c>
      <c r="AV120" s="66">
        <v>3.476</v>
      </c>
      <c r="AW120" s="66">
        <v>0.4148</v>
      </c>
      <c r="AX120" s="66">
        <v>0.2154</v>
      </c>
      <c r="AY120" s="66" t="s">
        <v>376</v>
      </c>
      <c r="AZ120" s="66">
        <v>0.472</v>
      </c>
      <c r="BA120" s="66">
        <v>0.1461</v>
      </c>
      <c r="BB120" s="66">
        <v>3.491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H121" s="82">
        <v>44664.0</v>
      </c>
      <c r="AL121" s="66">
        <v>0.2212</v>
      </c>
      <c r="AO121" s="66">
        <v>0.1987</v>
      </c>
      <c r="AR121" s="66">
        <v>0.2103</v>
      </c>
      <c r="AU121" s="66">
        <v>0.1925</v>
      </c>
      <c r="AX121" s="66">
        <v>0.2317</v>
      </c>
      <c r="BA121" s="66">
        <v>0.1219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H122" s="82">
        <v>44664.0</v>
      </c>
      <c r="AJ122" s="66">
        <v>2.721</v>
      </c>
      <c r="AK122" s="66">
        <v>0.4554</v>
      </c>
      <c r="AL122" s="66">
        <v>0.1929</v>
      </c>
      <c r="AM122" s="66">
        <v>3.148</v>
      </c>
      <c r="AN122" s="66">
        <v>0.5602</v>
      </c>
      <c r="AO122" s="66">
        <v>0.2607</v>
      </c>
      <c r="AP122" s="66">
        <v>2.901</v>
      </c>
      <c r="AQ122" s="66">
        <v>0.5431</v>
      </c>
      <c r="AR122" s="66">
        <v>0.2329</v>
      </c>
      <c r="AS122" s="66">
        <v>3.05</v>
      </c>
      <c r="AT122" s="66">
        <v>0.3791</v>
      </c>
      <c r="AU122" s="66">
        <v>0.1526</v>
      </c>
      <c r="AV122" s="66">
        <v>3.017</v>
      </c>
      <c r="AW122" s="66">
        <v>0.5089</v>
      </c>
      <c r="AX122" s="66">
        <v>0.2299</v>
      </c>
      <c r="AY122" s="66">
        <v>3.069</v>
      </c>
      <c r="AZ122" s="66">
        <v>0.633</v>
      </c>
      <c r="BA122" s="66">
        <v>0.3025</v>
      </c>
      <c r="BF122" s="135"/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BE123" s="66">
        <v>1.414</v>
      </c>
      <c r="BF123" s="66">
        <v>0.834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AG128" s="66">
        <v>1.961</v>
      </c>
      <c r="AH128" s="66">
        <v>0.913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H132" s="82">
        <v>44665.0</v>
      </c>
      <c r="AJ132" s="66">
        <v>2.3</v>
      </c>
      <c r="AK132" s="66">
        <v>0.1131</v>
      </c>
      <c r="AL132" s="135">
        <v>0.0639</v>
      </c>
      <c r="AM132" s="66">
        <v>2.2</v>
      </c>
      <c r="AN132" s="66">
        <v>0.0919</v>
      </c>
      <c r="AO132" s="135">
        <v>0.0515</v>
      </c>
      <c r="AP132" s="66">
        <v>2.0</v>
      </c>
      <c r="AQ132" s="66">
        <v>0.1094</v>
      </c>
      <c r="AR132" s="135">
        <v>0.0596</v>
      </c>
      <c r="BE132" s="66">
        <v>2.8462</v>
      </c>
      <c r="BF132" s="135">
        <v>1.5465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AH133" s="82">
        <v>44665.0</v>
      </c>
      <c r="AJ133" s="66">
        <v>2.4</v>
      </c>
      <c r="AK133" s="66">
        <v>0.1249</v>
      </c>
      <c r="AL133" s="135">
        <v>0.0702</v>
      </c>
      <c r="AM133" s="66">
        <v>1.7</v>
      </c>
      <c r="AN133" s="66">
        <v>0.1135</v>
      </c>
      <c r="AO133" s="135">
        <v>0.0612</v>
      </c>
      <c r="AP133" s="66">
        <v>1.83</v>
      </c>
      <c r="AQ133" s="66">
        <v>0.062</v>
      </c>
      <c r="AR133" s="135">
        <v>0.0347</v>
      </c>
      <c r="BE133" s="66">
        <v>2.3375</v>
      </c>
      <c r="BF133" s="135">
        <v>1.2673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AH136" s="82">
        <v>44665.0</v>
      </c>
      <c r="AJ136" s="66">
        <v>1.85</v>
      </c>
      <c r="AK136" s="66">
        <v>0.2526</v>
      </c>
      <c r="AL136" s="135">
        <v>0.1374</v>
      </c>
      <c r="AM136" s="66">
        <v>2.56</v>
      </c>
      <c r="AN136" s="66">
        <v>0.1768</v>
      </c>
      <c r="AO136" s="135">
        <v>0.0967</v>
      </c>
      <c r="AP136" s="66">
        <v>2.6</v>
      </c>
      <c r="AQ136" s="66">
        <v>0.1465</v>
      </c>
      <c r="AR136" s="135">
        <v>0.0789</v>
      </c>
      <c r="BE136" s="66">
        <v>2.3201</v>
      </c>
      <c r="BF136" s="135">
        <v>1.229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H137" s="82">
        <v>44664.0</v>
      </c>
      <c r="AJ137" s="66">
        <v>1.471</v>
      </c>
      <c r="AK137" s="66">
        <v>0.1364</v>
      </c>
      <c r="AL137" s="135">
        <v>0.0746</v>
      </c>
      <c r="AM137" s="66">
        <v>2.231</v>
      </c>
      <c r="AN137" s="66">
        <v>0.104</v>
      </c>
      <c r="AO137" s="135">
        <v>0.0575</v>
      </c>
      <c r="AP137" s="66">
        <v>1.447</v>
      </c>
      <c r="AQ137" s="66">
        <v>0.0819</v>
      </c>
      <c r="AR137" s="135">
        <v>0.0386</v>
      </c>
      <c r="AS137" s="66">
        <v>1.553</v>
      </c>
      <c r="AT137" s="66">
        <v>0.1229</v>
      </c>
      <c r="AU137" s="135">
        <v>0.0681</v>
      </c>
      <c r="BE137" s="66">
        <v>1.5244</v>
      </c>
      <c r="BF137" s="135">
        <v>0.8209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H138" s="82">
        <v>44664.0</v>
      </c>
      <c r="AJ138" s="66">
        <v>1.731</v>
      </c>
      <c r="AK138" s="66">
        <v>0.109</v>
      </c>
      <c r="AL138" s="135">
        <v>0.0612</v>
      </c>
      <c r="AM138" s="66">
        <v>1.702</v>
      </c>
      <c r="AN138" s="66">
        <v>0.0674</v>
      </c>
      <c r="AO138" s="135">
        <v>0.0385</v>
      </c>
      <c r="AP138" s="66">
        <v>1.658</v>
      </c>
      <c r="AQ138" s="66">
        <v>0.1205</v>
      </c>
      <c r="AR138" s="135">
        <v>0.0679</v>
      </c>
      <c r="BE138" s="66">
        <v>0.6377</v>
      </c>
      <c r="BF138" s="135">
        <v>0.3524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H139" s="82">
        <v>44664.0</v>
      </c>
      <c r="AJ139" s="66">
        <v>2.287</v>
      </c>
      <c r="AK139" s="66">
        <v>0.1514</v>
      </c>
      <c r="AL139" s="135">
        <v>0.0858</v>
      </c>
      <c r="AM139" s="66">
        <v>2.371</v>
      </c>
      <c r="AN139" s="66">
        <v>0.1766</v>
      </c>
      <c r="AO139" s="135">
        <v>0.0994</v>
      </c>
      <c r="AP139" s="66">
        <v>2.19</v>
      </c>
      <c r="AQ139" s="66">
        <v>0.1723</v>
      </c>
      <c r="AR139" s="135">
        <v>0.0931</v>
      </c>
      <c r="AS139" s="66">
        <v>2.314</v>
      </c>
      <c r="AT139" s="66">
        <v>0.2032</v>
      </c>
      <c r="AU139" s="135">
        <v>0.1114</v>
      </c>
      <c r="BE139" s="66">
        <v>3.1615</v>
      </c>
      <c r="BF139" s="135">
        <v>1.709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H140" s="82">
        <v>44664.0</v>
      </c>
      <c r="AJ140" s="66">
        <v>1.469</v>
      </c>
      <c r="AK140" s="66">
        <v>0.119</v>
      </c>
      <c r="AL140" s="135">
        <v>0.069</v>
      </c>
      <c r="AM140" s="66">
        <v>1.762</v>
      </c>
      <c r="AN140" s="66">
        <v>0.1561</v>
      </c>
      <c r="AO140" s="135">
        <v>0.0889</v>
      </c>
      <c r="AP140" s="66">
        <v>1.761</v>
      </c>
      <c r="AQ140" s="66">
        <v>0.0999</v>
      </c>
      <c r="AR140" s="135">
        <v>0.055</v>
      </c>
      <c r="BE140" s="66">
        <v>1.341</v>
      </c>
      <c r="BF140" s="135">
        <v>0.6329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H142" s="82">
        <v>44664.0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AJ143" s="66">
        <v>1.731</v>
      </c>
      <c r="AK143" s="66">
        <v>0.1326</v>
      </c>
      <c r="AL143" s="135">
        <v>0.0733</v>
      </c>
      <c r="AM143" s="66">
        <v>2.201</v>
      </c>
      <c r="AN143" s="66">
        <v>0.1963</v>
      </c>
      <c r="AO143" s="135">
        <v>0.1088</v>
      </c>
      <c r="AP143" s="66">
        <v>2.081</v>
      </c>
      <c r="AQ143" s="66">
        <v>0.1541</v>
      </c>
      <c r="AR143" s="135">
        <v>0.0865</v>
      </c>
      <c r="BE143" s="66">
        <v>2.2224</v>
      </c>
      <c r="BF143" s="135">
        <v>1.1291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H144" s="82">
        <v>44664.0</v>
      </c>
      <c r="AJ144" s="66">
        <v>1.381</v>
      </c>
      <c r="AK144" s="66">
        <v>0.0786</v>
      </c>
      <c r="AL144" s="135">
        <v>0.0405</v>
      </c>
      <c r="AM144" s="66">
        <v>1.461</v>
      </c>
      <c r="AN144" s="66">
        <v>0.0759</v>
      </c>
      <c r="AO144" s="135">
        <v>0.0394</v>
      </c>
      <c r="AP144" s="66">
        <v>1.482</v>
      </c>
      <c r="AQ144" s="66">
        <v>0.0799</v>
      </c>
      <c r="AR144" s="135">
        <v>0.0415</v>
      </c>
      <c r="BE144" s="66">
        <v>2.0548</v>
      </c>
      <c r="BF144" s="135">
        <v>1.015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H145" s="82">
        <v>44664.0</v>
      </c>
      <c r="AJ145" s="66">
        <v>1.334</v>
      </c>
      <c r="AK145" s="66">
        <v>0.1781</v>
      </c>
      <c r="AL145" s="135">
        <v>0.0839</v>
      </c>
      <c r="AM145" s="66">
        <v>0.848</v>
      </c>
      <c r="AN145" s="66">
        <v>0.116</v>
      </c>
      <c r="AO145" s="135">
        <v>0.0545</v>
      </c>
      <c r="AP145" s="66">
        <v>1.231</v>
      </c>
      <c r="AQ145" s="66">
        <v>0.0847</v>
      </c>
      <c r="AR145" s="135">
        <v>0.0403</v>
      </c>
      <c r="AS145" s="66">
        <v>1.221</v>
      </c>
      <c r="AT145" s="66">
        <v>0.0709</v>
      </c>
      <c r="AU145" s="135">
        <v>0.0326</v>
      </c>
      <c r="BE145" s="66">
        <v>2.0085</v>
      </c>
      <c r="BF145" s="135">
        <v>0.9117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H147" s="82">
        <v>44664.0</v>
      </c>
      <c r="AJ147" s="66">
        <v>1.82</v>
      </c>
      <c r="AK147" s="66">
        <v>0.1183</v>
      </c>
      <c r="AL147" s="135">
        <v>0.0631</v>
      </c>
      <c r="AM147" s="66">
        <v>1.4</v>
      </c>
      <c r="AN147" s="66">
        <v>0.0671</v>
      </c>
      <c r="AO147" s="135">
        <v>0.0358</v>
      </c>
      <c r="AP147" s="66">
        <v>2.04</v>
      </c>
      <c r="AQ147" s="66">
        <v>0.1389</v>
      </c>
      <c r="AR147" s="135">
        <v>0.0759</v>
      </c>
      <c r="AS147" s="66">
        <v>1.92</v>
      </c>
      <c r="AT147" s="66">
        <v>0.0861</v>
      </c>
      <c r="AU147" s="135">
        <v>0.0481</v>
      </c>
      <c r="BE147" s="66">
        <v>1.7995</v>
      </c>
      <c r="BF147" s="135">
        <v>0.9273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H148" s="82">
        <v>44664.0</v>
      </c>
      <c r="AJ148" s="66">
        <v>1.8</v>
      </c>
      <c r="AK148" s="66">
        <v>0.0853</v>
      </c>
      <c r="AL148" s="135">
        <v>0.042</v>
      </c>
      <c r="AM148" s="66">
        <v>1.951</v>
      </c>
      <c r="AN148" s="66">
        <v>0.1371</v>
      </c>
      <c r="AO148" s="135">
        <v>0.0699</v>
      </c>
      <c r="AP148" s="66">
        <v>1.295</v>
      </c>
      <c r="AQ148" s="66">
        <v>0.1151</v>
      </c>
      <c r="AR148" s="135">
        <v>0.0572</v>
      </c>
      <c r="AS148" s="66">
        <v>1.584</v>
      </c>
      <c r="AT148" s="66">
        <v>0.1077</v>
      </c>
      <c r="AU148" s="135">
        <v>0.0554</v>
      </c>
      <c r="AV148" s="66">
        <v>1.822</v>
      </c>
      <c r="AW148" s="66">
        <v>0.1545</v>
      </c>
      <c r="AX148" s="135">
        <v>0.0786</v>
      </c>
      <c r="BE148" s="66">
        <v>2.6018</v>
      </c>
      <c r="BF148" s="135">
        <v>1.2356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1.672</v>
      </c>
      <c r="AK149" s="66">
        <v>0.1871</v>
      </c>
      <c r="AL149" s="135">
        <v>0.1032</v>
      </c>
      <c r="AM149" s="66">
        <v>1.721</v>
      </c>
      <c r="AN149" s="66">
        <v>0.1809</v>
      </c>
      <c r="AO149" s="135">
        <v>0.1013</v>
      </c>
      <c r="AP149" s="66">
        <v>1.951</v>
      </c>
      <c r="AQ149" s="66">
        <v>0.1204</v>
      </c>
      <c r="AR149" s="135">
        <v>0.068</v>
      </c>
      <c r="BE149" s="66">
        <v>0.8877</v>
      </c>
      <c r="BF149" s="135">
        <v>0.4914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H150" s="82">
        <v>44664.0</v>
      </c>
      <c r="AJ150" s="66">
        <v>2.681</v>
      </c>
      <c r="AK150" s="66">
        <v>0.2</v>
      </c>
      <c r="AL150" s="135">
        <v>0.1129</v>
      </c>
      <c r="AM150" s="66">
        <v>2.551</v>
      </c>
      <c r="AN150" s="66">
        <v>0.1876</v>
      </c>
      <c r="AO150" s="135">
        <v>0.1074</v>
      </c>
      <c r="BE150" s="66">
        <v>1.5848</v>
      </c>
      <c r="BF150" s="135">
        <v>0.8816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H151" s="82">
        <v>44664.0</v>
      </c>
      <c r="AJ151" s="66">
        <v>1.888</v>
      </c>
      <c r="AK151" s="66">
        <v>0.2369</v>
      </c>
      <c r="AL151" s="135">
        <v>0.1283</v>
      </c>
      <c r="AM151" s="66">
        <v>2.091</v>
      </c>
      <c r="AN151" s="66">
        <v>0.2671</v>
      </c>
      <c r="AO151" s="135">
        <v>0.1406</v>
      </c>
      <c r="AP151" s="66">
        <v>2.285</v>
      </c>
      <c r="AQ151" s="66">
        <v>0.2115</v>
      </c>
      <c r="AR151" s="135">
        <v>0.1134</v>
      </c>
      <c r="BE151" s="66">
        <v>0.9998</v>
      </c>
      <c r="BF151" s="135">
        <v>0.5266</v>
      </c>
      <c r="BH151" s="135"/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44676.0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1.718</v>
      </c>
      <c r="L7" s="66">
        <v>1.591</v>
      </c>
      <c r="O7" s="66">
        <v>1.361</v>
      </c>
      <c r="R7" s="66">
        <v>1.919</v>
      </c>
      <c r="AG7" s="66">
        <v>2.02</v>
      </c>
      <c r="AH7" s="66">
        <v>1.2922</v>
      </c>
      <c r="AJ7" s="66">
        <v>2.774</v>
      </c>
      <c r="AM7" s="66">
        <v>2.8</v>
      </c>
      <c r="AP7" s="66">
        <v>2.628</v>
      </c>
      <c r="BE7" s="66">
        <v>1.98</v>
      </c>
      <c r="BF7" s="66">
        <v>1.2816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1.723</v>
      </c>
      <c r="L9" s="66">
        <v>1.371</v>
      </c>
      <c r="O9" s="66">
        <v>1.668</v>
      </c>
      <c r="R9" s="66">
        <v>1.238</v>
      </c>
      <c r="U9" s="66">
        <v>1.298</v>
      </c>
      <c r="AG9" s="66">
        <v>1.86</v>
      </c>
      <c r="AH9" s="66">
        <v>1.127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1.412</v>
      </c>
      <c r="L18" s="66">
        <v>1.54</v>
      </c>
      <c r="O18" s="66">
        <v>1.6</v>
      </c>
      <c r="R18" s="66">
        <v>1.388</v>
      </c>
      <c r="AG18" s="66">
        <v>1.95</v>
      </c>
      <c r="AH18" s="66">
        <v>1.0463</v>
      </c>
      <c r="AJ18" s="66">
        <v>2.88</v>
      </c>
      <c r="AM18" s="66">
        <v>2.531</v>
      </c>
      <c r="AP18" s="66">
        <v>2.864</v>
      </c>
      <c r="BE18" s="66">
        <v>0.85</v>
      </c>
      <c r="BF18" s="66">
        <v>0.4809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1.382</v>
      </c>
      <c r="L24" s="66">
        <v>1.41</v>
      </c>
      <c r="O24" s="66">
        <v>1.414</v>
      </c>
      <c r="AG24" s="66">
        <v>0.963</v>
      </c>
      <c r="AH24" s="66">
        <v>0.4932</v>
      </c>
      <c r="AJ24" s="66">
        <v>3.0</v>
      </c>
      <c r="AM24" s="66">
        <v>3.25</v>
      </c>
      <c r="AP24" s="66">
        <v>3.3</v>
      </c>
      <c r="BE24" s="66">
        <v>0.92</v>
      </c>
      <c r="BF24" s="66">
        <v>0.4975</v>
      </c>
      <c r="BG24" s="81">
        <f>AVERAGE(AP24,AM24,AJ24)</f>
        <v>3.183333333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1.508</v>
      </c>
      <c r="L27" s="66">
        <v>1.584</v>
      </c>
      <c r="AG27" s="66">
        <v>2.46</v>
      </c>
      <c r="AH27" s="66">
        <v>1.2522</v>
      </c>
      <c r="AJ27" s="66">
        <v>2.662</v>
      </c>
      <c r="AM27" s="66">
        <v>2.384</v>
      </c>
      <c r="AP27" s="66">
        <v>3.092</v>
      </c>
      <c r="BE27" s="66">
        <v>0.787</v>
      </c>
      <c r="BF27" s="66">
        <v>0.4247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1.512</v>
      </c>
      <c r="L30" s="66">
        <v>1.421</v>
      </c>
      <c r="O30" s="66">
        <v>1.583</v>
      </c>
      <c r="AG30" s="66">
        <v>1.39</v>
      </c>
      <c r="AH30" s="66">
        <v>0.7407</v>
      </c>
      <c r="AJ30" s="66">
        <v>3.3</v>
      </c>
      <c r="AM30" s="66">
        <v>3.35</v>
      </c>
      <c r="AP30" s="66">
        <v>3.5</v>
      </c>
      <c r="BE30" s="66">
        <v>1.88</v>
      </c>
      <c r="BF30" s="66">
        <v>1.0332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0.864</v>
      </c>
      <c r="L31" s="66">
        <v>1.052</v>
      </c>
      <c r="O31" s="66">
        <v>0.992</v>
      </c>
      <c r="AG31" s="66">
        <v>5.51</v>
      </c>
      <c r="AH31" s="66">
        <v>3.3163</v>
      </c>
      <c r="AJ31" s="66">
        <v>2.571</v>
      </c>
      <c r="AM31" s="66">
        <v>2.47</v>
      </c>
      <c r="AP31" s="66">
        <v>2.404</v>
      </c>
      <c r="AS31" s="66">
        <v>2.508</v>
      </c>
      <c r="BE31" s="66">
        <v>1.61</v>
      </c>
      <c r="BF31" s="66">
        <v>0.9889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1.139</v>
      </c>
      <c r="L32" s="66">
        <v>1.221</v>
      </c>
      <c r="O32" s="66">
        <v>1.561</v>
      </c>
      <c r="AG32" s="66">
        <v>2.47</v>
      </c>
      <c r="AH32" s="66">
        <v>1.5068</v>
      </c>
      <c r="AJ32" s="66">
        <v>3.169</v>
      </c>
      <c r="AM32" s="66">
        <v>2.961</v>
      </c>
      <c r="AP32" s="66">
        <v>2.769</v>
      </c>
      <c r="BE32" s="66">
        <v>1.96</v>
      </c>
      <c r="BF32" s="66">
        <v>1.2068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1.528</v>
      </c>
      <c r="L33" s="66">
        <v>1.491</v>
      </c>
      <c r="AG33" s="66">
        <v>1.64</v>
      </c>
      <c r="AH33" s="66">
        <v>0.8586</v>
      </c>
      <c r="AJ33" s="66">
        <v>2.84</v>
      </c>
      <c r="AM33" s="66">
        <v>3.09</v>
      </c>
      <c r="AP33" s="66">
        <v>3.01</v>
      </c>
      <c r="AS33" s="66">
        <v>3.45</v>
      </c>
      <c r="AV33" s="66">
        <v>3.09</v>
      </c>
      <c r="BE33" s="66">
        <v>2.18</v>
      </c>
      <c r="BF33" s="66">
        <v>1.1816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1.221</v>
      </c>
      <c r="L34" s="66">
        <v>1.271</v>
      </c>
      <c r="AG34" s="66">
        <v>1.11</v>
      </c>
      <c r="AH34" s="66">
        <v>0.6002</v>
      </c>
      <c r="AJ34" s="66">
        <v>3.12</v>
      </c>
      <c r="AM34" s="66">
        <v>3.12</v>
      </c>
      <c r="AP34" s="66">
        <v>2.84</v>
      </c>
      <c r="AS34" s="66">
        <v>2.5</v>
      </c>
      <c r="BE34" s="66">
        <v>1.07</v>
      </c>
      <c r="BF34" s="66">
        <v>0.5779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0.834</v>
      </c>
      <c r="L35" s="66">
        <v>1.118</v>
      </c>
      <c r="O35" s="66">
        <v>1.671</v>
      </c>
      <c r="R35" s="66">
        <v>0.481</v>
      </c>
      <c r="U35" s="66">
        <v>0.778</v>
      </c>
      <c r="AG35" s="66">
        <v>2.16</v>
      </c>
      <c r="AH35" s="66">
        <v>1.3604</v>
      </c>
      <c r="AJ35" s="66">
        <v>3.05</v>
      </c>
      <c r="AM35" s="66">
        <v>2.0</v>
      </c>
      <c r="AP35" s="66">
        <v>2.0</v>
      </c>
      <c r="AS35" s="66">
        <v>2.68</v>
      </c>
      <c r="AV35" s="66">
        <v>2.3</v>
      </c>
      <c r="AY35" s="66">
        <v>2.3</v>
      </c>
      <c r="BE35" s="66">
        <v>1.36</v>
      </c>
      <c r="BF35" s="66">
        <v>0.8595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1.228</v>
      </c>
      <c r="L42" s="66">
        <v>1.098</v>
      </c>
      <c r="O42" s="66">
        <v>1.138</v>
      </c>
      <c r="AG42" s="66">
        <v>2.04</v>
      </c>
      <c r="AH42" s="66">
        <v>1.052</v>
      </c>
      <c r="AJ42" s="66">
        <v>2.783</v>
      </c>
      <c r="AM42" s="66">
        <v>2.634</v>
      </c>
      <c r="AP42" s="66">
        <v>2.136</v>
      </c>
      <c r="BE42" s="66">
        <v>1.25</v>
      </c>
      <c r="BF42" s="66">
        <v>0.6715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0.892</v>
      </c>
      <c r="L46" s="66">
        <v>0.618</v>
      </c>
      <c r="O46" s="66">
        <v>0.668</v>
      </c>
      <c r="R46" s="66">
        <v>0.628</v>
      </c>
      <c r="AG46" s="66">
        <v>2.3</v>
      </c>
      <c r="AH46" s="66">
        <v>1.3892</v>
      </c>
      <c r="AJ46" s="66">
        <v>2.207</v>
      </c>
      <c r="AM46" s="66">
        <v>2.29</v>
      </c>
      <c r="AP46" s="66">
        <v>2.136</v>
      </c>
      <c r="BE46" s="66">
        <v>1.56</v>
      </c>
      <c r="BF46" s="66">
        <v>0.9159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1.971</v>
      </c>
      <c r="L47" s="66">
        <v>2.022</v>
      </c>
      <c r="O47" s="66">
        <v>2.008</v>
      </c>
      <c r="AG47" s="66">
        <v>1.33</v>
      </c>
      <c r="AH47" s="66">
        <v>0.721</v>
      </c>
      <c r="AJ47" s="66">
        <v>2.207</v>
      </c>
      <c r="AM47" s="66">
        <v>2.29</v>
      </c>
      <c r="AP47" s="66">
        <v>2.136</v>
      </c>
      <c r="BE47" s="66">
        <v>0.78</v>
      </c>
      <c r="BF47" s="66">
        <v>0.4243</v>
      </c>
      <c r="BH47" s="66" t="s">
        <v>377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1.171</v>
      </c>
      <c r="L48" s="66">
        <v>1.468</v>
      </c>
      <c r="O48" s="66">
        <v>1.443</v>
      </c>
      <c r="AG48" s="66">
        <v>1.49</v>
      </c>
      <c r="AH48" s="66">
        <v>0.7479</v>
      </c>
      <c r="AJ48" s="66">
        <v>2.554</v>
      </c>
      <c r="AM48" s="66">
        <v>2.43</v>
      </c>
      <c r="AP48" s="66">
        <v>2.204</v>
      </c>
      <c r="BE48" s="66">
        <v>1.27</v>
      </c>
      <c r="BF48" s="66">
        <v>0.6506</v>
      </c>
      <c r="BH48" s="66" t="s">
        <v>377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1.301</v>
      </c>
      <c r="L53" s="66">
        <v>1.38</v>
      </c>
      <c r="AG53" s="66">
        <v>1.14</v>
      </c>
      <c r="AH53" s="66">
        <v>0.5818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3.151</v>
      </c>
      <c r="AM75" s="66">
        <v>3.031</v>
      </c>
      <c r="AP75" s="66">
        <v>2.789</v>
      </c>
      <c r="BE75" s="66">
        <v>1.3</v>
      </c>
      <c r="BF75" s="66">
        <v>0.808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3.801</v>
      </c>
      <c r="AM82" s="66">
        <v>2.998</v>
      </c>
      <c r="AP82" s="66">
        <v>3.486</v>
      </c>
      <c r="AS82" s="66">
        <v>3.701</v>
      </c>
      <c r="AV82" s="66">
        <v>3.496</v>
      </c>
      <c r="BE82" s="66">
        <v>1.74</v>
      </c>
      <c r="BF82" s="66">
        <v>1.0678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1.388</v>
      </c>
      <c r="L91" s="66">
        <v>1.371</v>
      </c>
      <c r="AG91" s="66">
        <v>1.81</v>
      </c>
      <c r="AH91" s="66">
        <v>0.9311</v>
      </c>
      <c r="AJ91" s="66">
        <v>2.26</v>
      </c>
      <c r="AM91" s="66">
        <v>2.378</v>
      </c>
      <c r="AP91" s="66">
        <v>1.893</v>
      </c>
      <c r="AS91" s="66">
        <v>2.618</v>
      </c>
      <c r="BE91" s="66">
        <v>0.54</v>
      </c>
      <c r="BF91" s="66">
        <v>0.2794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0.998</v>
      </c>
      <c r="L92" s="66">
        <v>0.888</v>
      </c>
      <c r="O92" s="66">
        <v>0.971</v>
      </c>
      <c r="AG92" s="66">
        <v>1.78</v>
      </c>
      <c r="AH92" s="66">
        <v>0.8655</v>
      </c>
      <c r="AJ92" s="66">
        <v>2.751</v>
      </c>
      <c r="AM92" s="66">
        <v>2.641</v>
      </c>
      <c r="BE92" s="66">
        <v>0.93</v>
      </c>
      <c r="BF92" s="66">
        <v>0.485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1.248</v>
      </c>
      <c r="L93" s="66">
        <v>1.312</v>
      </c>
      <c r="O93" s="66">
        <v>1.361</v>
      </c>
      <c r="AG93" s="66">
        <v>1.31</v>
      </c>
      <c r="AH93" s="66">
        <v>0.6827</v>
      </c>
      <c r="AJ93" s="66">
        <v>2.0</v>
      </c>
      <c r="AM93" s="66">
        <v>1.953</v>
      </c>
      <c r="BE93" s="66">
        <v>1.58</v>
      </c>
      <c r="BF93" s="66">
        <v>0.8564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1.2</v>
      </c>
      <c r="L107" s="66">
        <v>1.344</v>
      </c>
      <c r="O107" s="66">
        <v>1.243</v>
      </c>
      <c r="AG107" s="66">
        <v>1.61</v>
      </c>
      <c r="AH107" s="66">
        <v>0.8512</v>
      </c>
      <c r="AJ107" s="66">
        <v>1.942</v>
      </c>
      <c r="AM107" s="66">
        <v>2.111</v>
      </c>
      <c r="AP107" s="66">
        <v>1.95</v>
      </c>
      <c r="BE107" s="66">
        <v>1.6</v>
      </c>
      <c r="BF107" s="66">
        <v>0.874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1.228</v>
      </c>
      <c r="L110" s="66">
        <v>1.188</v>
      </c>
      <c r="O110" s="66">
        <v>1.198</v>
      </c>
      <c r="AG110" s="66">
        <v>1.26</v>
      </c>
      <c r="AH110" s="66">
        <v>0.7249</v>
      </c>
      <c r="AJ110" s="66">
        <v>2.55</v>
      </c>
      <c r="AM110" s="66">
        <v>2.53</v>
      </c>
      <c r="AP110" s="66">
        <v>3.0</v>
      </c>
      <c r="AS110" s="66">
        <v>2.7</v>
      </c>
      <c r="BE110" s="66">
        <v>1.56</v>
      </c>
      <c r="BF110" s="66">
        <v>0.8847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1.338</v>
      </c>
      <c r="L111" s="66">
        <v>1.36</v>
      </c>
      <c r="AG111" s="66">
        <v>1.98</v>
      </c>
      <c r="AH111" s="66">
        <v>1.1147</v>
      </c>
      <c r="AJ111" s="66">
        <v>2.98</v>
      </c>
      <c r="AM111" s="66">
        <v>2.94</v>
      </c>
      <c r="BF111" s="66">
        <v>1.1098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1.6</v>
      </c>
      <c r="L112" s="66">
        <v>1.68</v>
      </c>
      <c r="AG112" s="66">
        <v>0.741</v>
      </c>
      <c r="AH112" s="66">
        <v>0.3996</v>
      </c>
      <c r="AJ112" s="66">
        <v>2.54</v>
      </c>
      <c r="AM112" s="66">
        <v>2.6</v>
      </c>
      <c r="AP112" s="66">
        <v>2.55</v>
      </c>
      <c r="BE112" s="66">
        <v>1.7</v>
      </c>
      <c r="BF112" s="66">
        <v>0.9515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1.71</v>
      </c>
      <c r="L117" s="66">
        <v>1.998</v>
      </c>
      <c r="O117" s="66">
        <v>1.738</v>
      </c>
      <c r="R117" s="66">
        <v>1.651</v>
      </c>
      <c r="U117" s="66">
        <v>1.718</v>
      </c>
      <c r="X117" s="66">
        <v>1.821</v>
      </c>
      <c r="AG117" s="66">
        <v>1.2</v>
      </c>
      <c r="AH117" s="66">
        <v>0.5314</v>
      </c>
      <c r="AJ117" s="66">
        <v>2.5</v>
      </c>
      <c r="AM117" s="66">
        <v>1.81</v>
      </c>
      <c r="AP117" s="66">
        <v>2.0</v>
      </c>
      <c r="AS117" s="66">
        <v>2.55</v>
      </c>
      <c r="AV117" s="66">
        <v>2.7</v>
      </c>
      <c r="BE117" s="66">
        <v>0.6326</v>
      </c>
      <c r="BF117" s="66">
        <v>0.281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2.418</v>
      </c>
      <c r="L120" s="66">
        <v>2.591</v>
      </c>
      <c r="O120" s="66">
        <v>2.751</v>
      </c>
      <c r="R120" s="66">
        <v>2.666</v>
      </c>
      <c r="U120" s="66">
        <v>2.951</v>
      </c>
      <c r="X120" s="66">
        <v>2.958</v>
      </c>
      <c r="AG120" s="66">
        <v>2.95</v>
      </c>
      <c r="AH120" s="66">
        <v>1.3339</v>
      </c>
      <c r="AJ120" s="66">
        <v>3.15</v>
      </c>
      <c r="AM120" s="66">
        <v>3.15</v>
      </c>
      <c r="AP120" s="66">
        <v>3.25</v>
      </c>
      <c r="BE120" s="66">
        <v>2.6566</v>
      </c>
      <c r="BF120" s="66">
        <v>0.78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AJ124" s="66" t="s">
        <v>355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1.218</v>
      </c>
      <c r="L149" s="66">
        <v>1.288</v>
      </c>
      <c r="AG149" s="66">
        <v>1.55</v>
      </c>
      <c r="AH149" s="66">
        <v>0.8406</v>
      </c>
      <c r="AJ149" s="66">
        <v>1.69</v>
      </c>
      <c r="AM149" s="66">
        <v>1.7</v>
      </c>
      <c r="AP149" s="66">
        <v>1.7</v>
      </c>
      <c r="BE149" s="66">
        <v>1.14</v>
      </c>
      <c r="BF149" s="66">
        <v>0.6439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1.182</v>
      </c>
      <c r="L150" s="66">
        <v>1.118</v>
      </c>
      <c r="O150" s="66">
        <v>1.213</v>
      </c>
      <c r="AG150" s="66">
        <v>1.62</v>
      </c>
      <c r="AH150" s="66">
        <v>0.859</v>
      </c>
      <c r="AJ150" s="66">
        <v>2.64</v>
      </c>
      <c r="AM150" s="66">
        <v>2.51</v>
      </c>
      <c r="AP150" s="66">
        <v>2.73</v>
      </c>
      <c r="BE150" s="66">
        <v>1.56</v>
      </c>
      <c r="BF150" s="66">
        <v>0.826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I151" s="66">
        <v>1.314</v>
      </c>
      <c r="L151" s="66">
        <v>1.258</v>
      </c>
      <c r="O151" s="66">
        <v>1.256</v>
      </c>
      <c r="AG151" s="90">
        <v>2.13</v>
      </c>
      <c r="AH151" s="90">
        <v>1.1296</v>
      </c>
      <c r="AJ151" s="66">
        <v>3.134</v>
      </c>
      <c r="AM151" s="66">
        <v>2.924</v>
      </c>
      <c r="AP151" s="66">
        <v>3.042</v>
      </c>
      <c r="BE151" s="66">
        <v>1.35</v>
      </c>
      <c r="BF151" s="66">
        <v>0.733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 t="s">
        <v>61</v>
      </c>
      <c r="E153" s="66">
        <v>2127.0</v>
      </c>
      <c r="I153" s="66">
        <v>1.251</v>
      </c>
      <c r="L153" s="66">
        <v>1.219</v>
      </c>
      <c r="AG153" s="66">
        <v>0.55</v>
      </c>
      <c r="AH153" s="66">
        <v>0.2829</v>
      </c>
      <c r="BH153" s="66" t="s">
        <v>378</v>
      </c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44678.0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1.382</v>
      </c>
      <c r="L24" s="66">
        <v>1.41</v>
      </c>
      <c r="O24" s="66">
        <v>1.414</v>
      </c>
      <c r="AJ24" s="66">
        <v>3.0</v>
      </c>
      <c r="AM24" s="66">
        <v>3.25</v>
      </c>
      <c r="AP24" s="66">
        <v>3.3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1.508</v>
      </c>
      <c r="L27" s="66">
        <v>1.584</v>
      </c>
      <c r="AJ27" s="66">
        <v>2.662</v>
      </c>
      <c r="AM27" s="66">
        <v>2.384</v>
      </c>
      <c r="AP27" s="66">
        <v>3.092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1.512</v>
      </c>
      <c r="L30" s="66">
        <v>1.421</v>
      </c>
      <c r="O30" s="66">
        <v>1.583</v>
      </c>
      <c r="AJ30" s="66">
        <v>3.3</v>
      </c>
      <c r="AM30" s="66">
        <v>3.35</v>
      </c>
      <c r="AP30" s="66">
        <v>3.3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1.228</v>
      </c>
      <c r="L42" s="66">
        <v>1.098</v>
      </c>
      <c r="O42" s="66">
        <v>1.138</v>
      </c>
      <c r="AJ42" s="66">
        <v>2.782</v>
      </c>
      <c r="AM42" s="66">
        <v>2.634</v>
      </c>
      <c r="AP42" s="66">
        <v>2.748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1.971</v>
      </c>
      <c r="L47" s="66">
        <v>2.022</v>
      </c>
      <c r="O47" s="66">
        <v>2.008</v>
      </c>
      <c r="AJ47" s="66">
        <v>2.207</v>
      </c>
      <c r="AM47" s="66">
        <v>2.29</v>
      </c>
      <c r="AP47" s="66">
        <v>2.136</v>
      </c>
      <c r="BH47" s="66" t="s">
        <v>379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1.171</v>
      </c>
      <c r="L48" s="66">
        <v>1.468</v>
      </c>
      <c r="O48" s="66">
        <v>1.443</v>
      </c>
      <c r="AJ48" s="66">
        <v>2.554</v>
      </c>
      <c r="AM48" s="66">
        <v>2.43</v>
      </c>
      <c r="AP48" s="66">
        <v>2.143</v>
      </c>
      <c r="AS48" s="66">
        <v>2.204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0.918</v>
      </c>
      <c r="L113" s="66">
        <v>0.799</v>
      </c>
      <c r="O113" s="66">
        <v>1.037</v>
      </c>
      <c r="R113" s="66">
        <v>0.984</v>
      </c>
      <c r="AG113" s="66">
        <v>1.762</v>
      </c>
      <c r="AH113" s="66">
        <v>0.9</v>
      </c>
      <c r="AJ113" s="66">
        <v>2.518</v>
      </c>
      <c r="AM113" s="66">
        <v>2.6</v>
      </c>
      <c r="AP113" s="66">
        <v>2.744</v>
      </c>
      <c r="BE113" s="66">
        <v>1.062</v>
      </c>
      <c r="BF113" s="66">
        <v>0.562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0.914</v>
      </c>
      <c r="L114" s="66">
        <v>0.847</v>
      </c>
      <c r="O114" s="66">
        <v>0.992</v>
      </c>
      <c r="AG114" s="66">
        <v>4.076</v>
      </c>
      <c r="AH114" s="66">
        <v>2.033</v>
      </c>
      <c r="AJ114" s="66">
        <v>2.503</v>
      </c>
      <c r="AM114" s="66">
        <v>2.867</v>
      </c>
      <c r="AP114" s="66">
        <v>2.829</v>
      </c>
      <c r="BE114" s="66">
        <v>1.885</v>
      </c>
      <c r="BF114" s="66">
        <v>0.984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0.968</v>
      </c>
      <c r="L115" s="66">
        <v>1.018</v>
      </c>
      <c r="O115" s="66">
        <v>0.988</v>
      </c>
      <c r="AG115" s="66">
        <v>2.819</v>
      </c>
      <c r="AH115" s="66">
        <v>1.454</v>
      </c>
      <c r="AJ115" s="66">
        <v>2.638</v>
      </c>
      <c r="AM115" s="66">
        <v>2.778</v>
      </c>
      <c r="AP115" s="66">
        <v>2.735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1.018</v>
      </c>
      <c r="L116" s="66">
        <v>0.836</v>
      </c>
      <c r="O116" s="66">
        <v>1.056</v>
      </c>
      <c r="R116" s="66">
        <v>1.046</v>
      </c>
      <c r="AG116" s="66">
        <v>2.169</v>
      </c>
      <c r="AH116" s="66">
        <v>1.138</v>
      </c>
      <c r="AJ116" s="66">
        <v>2.261</v>
      </c>
      <c r="AM116" s="66">
        <v>2.664</v>
      </c>
      <c r="AP116" s="66">
        <v>2.354</v>
      </c>
      <c r="BE116" s="66">
        <v>1.614</v>
      </c>
      <c r="BF116" s="66">
        <v>0.868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AG117" s="66">
        <v>0.751</v>
      </c>
      <c r="AH117" s="66">
        <v>0.336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I119" s="66">
        <v>2.362</v>
      </c>
      <c r="L119" s="66">
        <v>2.339</v>
      </c>
      <c r="O119" s="66">
        <v>2.681</v>
      </c>
      <c r="R119" s="66">
        <v>2.458</v>
      </c>
      <c r="AJ119" s="66">
        <v>3.241</v>
      </c>
      <c r="AM119" s="66">
        <v>3.225</v>
      </c>
      <c r="AP119" s="66">
        <v>2.841</v>
      </c>
      <c r="AS119" s="66">
        <v>3.124</v>
      </c>
      <c r="AV119" s="66">
        <v>2.694</v>
      </c>
      <c r="AY119" s="66">
        <v>3.001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I121" s="66">
        <v>2.638</v>
      </c>
      <c r="L121" s="66">
        <v>2.553</v>
      </c>
      <c r="O121" s="66">
        <v>2.287</v>
      </c>
      <c r="R121" s="66">
        <v>2.584</v>
      </c>
      <c r="U121" s="66">
        <v>2.568</v>
      </c>
      <c r="X121" s="66">
        <v>2.661</v>
      </c>
      <c r="AG121" s="66">
        <v>2.332</v>
      </c>
      <c r="AH121" s="66">
        <v>1.025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I122" s="66">
        <v>1.871</v>
      </c>
      <c r="L122" s="66">
        <v>2.848</v>
      </c>
      <c r="O122" s="66">
        <v>2.718</v>
      </c>
      <c r="R122" s="66">
        <v>2.708</v>
      </c>
      <c r="U122" s="66">
        <v>2.769</v>
      </c>
      <c r="X122" s="66">
        <v>2.489</v>
      </c>
      <c r="AG122" s="66">
        <v>1.329</v>
      </c>
      <c r="AH122" s="66">
        <v>0.597</v>
      </c>
      <c r="AJ122" s="66">
        <v>3.771</v>
      </c>
      <c r="AM122" s="66">
        <v>3.654</v>
      </c>
      <c r="AP122" s="66">
        <v>3.572</v>
      </c>
      <c r="AS122" s="66">
        <v>3.613</v>
      </c>
      <c r="AV122" s="66">
        <v>3.553</v>
      </c>
      <c r="AY122" s="66">
        <v>3.611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I123" s="66">
        <v>0.778</v>
      </c>
      <c r="L123" s="66">
        <v>0.779</v>
      </c>
      <c r="AG123" s="66">
        <v>3.297</v>
      </c>
      <c r="AH123" s="66">
        <v>1.693</v>
      </c>
      <c r="AJ123" s="66">
        <v>1.843</v>
      </c>
      <c r="AM123" s="66">
        <v>2.034</v>
      </c>
      <c r="AP123" s="66">
        <v>1.75</v>
      </c>
      <c r="BE123" s="66">
        <v>2.058</v>
      </c>
      <c r="BF123" s="66">
        <v>0.798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I124" s="66">
        <v>1.508</v>
      </c>
      <c r="L124" s="66">
        <v>1.459</v>
      </c>
      <c r="O124" s="66">
        <v>1.028</v>
      </c>
      <c r="R124" s="66">
        <v>1.272</v>
      </c>
      <c r="U124" s="66">
        <v>1.038</v>
      </c>
      <c r="AG124" s="66">
        <v>1.915</v>
      </c>
      <c r="AH124" s="66">
        <v>1.025</v>
      </c>
      <c r="AJ124" s="66">
        <v>1.223</v>
      </c>
      <c r="AM124" s="66">
        <v>2.123</v>
      </c>
      <c r="AP124" s="66">
        <v>2.883</v>
      </c>
      <c r="AS124" s="66">
        <v>1.994</v>
      </c>
      <c r="AV124" s="66">
        <v>2.445</v>
      </c>
      <c r="AY124" s="66">
        <v>2.073</v>
      </c>
      <c r="BH124" s="136" t="s">
        <v>380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I125" s="66">
        <v>0.788</v>
      </c>
      <c r="L125" s="66">
        <v>0.258</v>
      </c>
      <c r="O125" s="66">
        <v>0.768</v>
      </c>
      <c r="R125" s="66">
        <v>0.384</v>
      </c>
      <c r="U125" s="66">
        <v>0.698</v>
      </c>
      <c r="AG125" s="66">
        <v>5.848</v>
      </c>
      <c r="AH125" s="66">
        <v>2.806</v>
      </c>
      <c r="AJ125" s="66">
        <v>2.183</v>
      </c>
      <c r="AM125" s="66">
        <v>1.978</v>
      </c>
      <c r="AP125" s="66">
        <v>1.901</v>
      </c>
      <c r="BE125" s="66">
        <v>1.812</v>
      </c>
      <c r="BF125" s="66">
        <v>0.729</v>
      </c>
      <c r="BH125" s="66" t="s">
        <v>381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I126" s="66">
        <v>1.34</v>
      </c>
      <c r="L126" s="66">
        <v>1.032</v>
      </c>
      <c r="O126" s="66">
        <v>1.198</v>
      </c>
      <c r="R126" s="66">
        <v>1.152</v>
      </c>
      <c r="U126" s="66">
        <v>1.241</v>
      </c>
      <c r="AG126" s="66">
        <v>2.886</v>
      </c>
      <c r="AH126" s="66">
        <v>1.353</v>
      </c>
      <c r="AJ126" s="66">
        <v>2.231</v>
      </c>
      <c r="AM126" s="66">
        <v>2.257</v>
      </c>
      <c r="BE126" s="66">
        <v>1.638</v>
      </c>
      <c r="BF126" s="66">
        <v>0.792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I127" s="66">
        <v>0.878</v>
      </c>
      <c r="L127" s="66">
        <v>0.789</v>
      </c>
      <c r="O127" s="66">
        <v>0.847</v>
      </c>
      <c r="AG127" s="66">
        <v>3.648</v>
      </c>
      <c r="AH127" s="66">
        <v>1.91</v>
      </c>
      <c r="AJ127" s="66">
        <v>0.93</v>
      </c>
      <c r="AM127" s="66">
        <v>1.3</v>
      </c>
      <c r="AP127" s="66">
        <v>1.78</v>
      </c>
      <c r="AS127" s="66">
        <v>1.8</v>
      </c>
      <c r="BE127" s="66">
        <v>1.03</v>
      </c>
      <c r="BF127" s="66">
        <v>0.383</v>
      </c>
      <c r="BH127" s="66" t="s">
        <v>382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I128" s="66">
        <v>0.818</v>
      </c>
      <c r="L128" s="66">
        <v>0.853</v>
      </c>
      <c r="O128" s="66">
        <v>0.856</v>
      </c>
      <c r="AJ128" s="66">
        <v>2.504</v>
      </c>
      <c r="AM128" s="66">
        <v>1.831</v>
      </c>
      <c r="AP128" s="66">
        <v>1.922</v>
      </c>
      <c r="BE128" s="66">
        <v>1.264</v>
      </c>
      <c r="BF128" s="66">
        <v>0.619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AJ129" s="66">
        <v>2.34</v>
      </c>
      <c r="AM129" s="66">
        <v>2.253</v>
      </c>
      <c r="AP129" s="66">
        <v>2.389</v>
      </c>
      <c r="BE129" s="66">
        <v>2.762</v>
      </c>
      <c r="BF129" s="66">
        <v>1.352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I130" s="66">
        <v>0.928</v>
      </c>
      <c r="L130" s="66">
        <v>0.748</v>
      </c>
      <c r="O130" s="66">
        <v>0.882</v>
      </c>
      <c r="AG130" s="66">
        <v>1.193</v>
      </c>
      <c r="AH130" s="66">
        <v>0.551</v>
      </c>
      <c r="AJ130" s="66">
        <v>1.965</v>
      </c>
      <c r="AM130" s="66">
        <v>1.874</v>
      </c>
      <c r="AP130" s="66">
        <v>2.144</v>
      </c>
      <c r="BE130" s="66">
        <v>1.527</v>
      </c>
      <c r="BF130" s="66">
        <v>0.757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I131" s="66">
        <v>1.049</v>
      </c>
      <c r="L131" s="66">
        <v>1.108</v>
      </c>
      <c r="O131" s="66">
        <v>0.978</v>
      </c>
      <c r="R131" s="66">
        <v>1.041</v>
      </c>
      <c r="AG131" s="66">
        <v>3.145</v>
      </c>
      <c r="AH131" s="66">
        <v>1.496</v>
      </c>
      <c r="AJ131" s="66">
        <v>2.188</v>
      </c>
      <c r="AM131" s="66">
        <v>2.233</v>
      </c>
      <c r="AP131" s="66">
        <v>2.211</v>
      </c>
      <c r="BE131" s="66">
        <v>1.369</v>
      </c>
      <c r="BF131" s="66">
        <v>0.675</v>
      </c>
      <c r="BH131" s="66" t="s">
        <v>383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1.038</v>
      </c>
      <c r="L132" s="66">
        <v>0.908</v>
      </c>
      <c r="O132" s="66">
        <v>0.902</v>
      </c>
      <c r="R132" s="66">
        <v>0.912</v>
      </c>
      <c r="AG132" s="66">
        <v>1.537</v>
      </c>
      <c r="AH132" s="66">
        <v>0.763</v>
      </c>
      <c r="AJ132" s="66">
        <v>1.681</v>
      </c>
      <c r="AM132" s="66">
        <v>1.789</v>
      </c>
      <c r="AP132" s="66">
        <v>1.873</v>
      </c>
      <c r="BE132" s="66">
        <v>1.27</v>
      </c>
      <c r="BF132" s="66">
        <v>0.662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0.863</v>
      </c>
      <c r="L133" s="66">
        <v>0.931</v>
      </c>
      <c r="O133" s="66">
        <v>0.85</v>
      </c>
      <c r="AG133" s="66">
        <v>2.575</v>
      </c>
      <c r="AH133" s="66">
        <v>1.288</v>
      </c>
      <c r="AJ133" s="66">
        <v>2.195</v>
      </c>
      <c r="AM133" s="66">
        <v>2.043</v>
      </c>
      <c r="AP133" s="66">
        <v>2.189</v>
      </c>
      <c r="BE133" s="66">
        <v>1.075</v>
      </c>
      <c r="BF133" s="66">
        <v>0.559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0.913</v>
      </c>
      <c r="L134" s="66">
        <v>0.871</v>
      </c>
      <c r="O134" s="66">
        <v>0.878</v>
      </c>
      <c r="AG134" s="66">
        <v>4.778</v>
      </c>
      <c r="AH134" s="66">
        <v>2.58</v>
      </c>
      <c r="AJ134" s="66">
        <v>1.884</v>
      </c>
      <c r="AM134" s="66">
        <v>1.673</v>
      </c>
      <c r="AP134" s="66">
        <v>2.271</v>
      </c>
      <c r="BE134" s="90"/>
      <c r="BF134" s="90"/>
      <c r="BH134" s="136" t="s">
        <v>384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0.818</v>
      </c>
      <c r="L135" s="66">
        <v>0.748</v>
      </c>
      <c r="O135" s="66">
        <v>0.753</v>
      </c>
      <c r="AG135" s="66">
        <v>5.023</v>
      </c>
      <c r="AH135" s="66">
        <v>2.613</v>
      </c>
      <c r="AJ135" s="66">
        <v>2.631</v>
      </c>
      <c r="AM135" s="66">
        <v>2.435</v>
      </c>
      <c r="AP135" s="66">
        <v>2.217</v>
      </c>
      <c r="BE135" s="66">
        <v>1.501</v>
      </c>
      <c r="BF135" s="66">
        <v>0.787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1.005</v>
      </c>
      <c r="L136" s="66">
        <v>0.958</v>
      </c>
      <c r="O136" s="66">
        <v>1.088</v>
      </c>
      <c r="AJ136" s="66">
        <v>1.958</v>
      </c>
      <c r="AM136" s="66">
        <v>1.881</v>
      </c>
      <c r="AP136" s="66">
        <v>1.774</v>
      </c>
      <c r="BE136" s="66">
        <v>1.862</v>
      </c>
      <c r="BF136" s="66">
        <v>0.963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1.021</v>
      </c>
      <c r="L137" s="66">
        <v>1.04</v>
      </c>
      <c r="AG137" s="66">
        <v>1.356</v>
      </c>
      <c r="AH137" s="66">
        <v>0.664</v>
      </c>
      <c r="AJ137" s="66">
        <v>1.416</v>
      </c>
      <c r="AM137" s="66">
        <v>1.325</v>
      </c>
      <c r="AP137" s="66">
        <v>1.543</v>
      </c>
      <c r="BE137" s="66">
        <v>1.555</v>
      </c>
      <c r="BF137" s="66">
        <v>0.806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I138" s="66">
        <v>1.2</v>
      </c>
      <c r="L138" s="66">
        <v>1.218</v>
      </c>
      <c r="AG138" s="66">
        <v>1.679</v>
      </c>
      <c r="AH138" s="66">
        <v>0.864</v>
      </c>
      <c r="AJ138" s="66">
        <v>3.051</v>
      </c>
      <c r="AM138" s="66">
        <v>2.842</v>
      </c>
      <c r="AP138" s="66">
        <v>3.054</v>
      </c>
      <c r="BE138" s="66">
        <v>1.745</v>
      </c>
      <c r="BF138" s="66">
        <v>0.94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I139" s="66">
        <v>1.302</v>
      </c>
      <c r="L139" s="66">
        <v>1.234</v>
      </c>
      <c r="O139" s="66">
        <v>1.308</v>
      </c>
      <c r="AG139" s="66">
        <v>1.867</v>
      </c>
      <c r="AH139" s="66">
        <v>0.936</v>
      </c>
      <c r="AJ139" s="66">
        <v>2.518</v>
      </c>
      <c r="AM139" s="66">
        <v>2.735</v>
      </c>
      <c r="AP139" s="66">
        <v>2.743</v>
      </c>
      <c r="BE139" s="66">
        <v>0.949</v>
      </c>
      <c r="BF139" s="66">
        <v>0.505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I140" s="66">
        <v>1.334</v>
      </c>
      <c r="L140" s="66">
        <v>1.249</v>
      </c>
      <c r="O140" s="66">
        <v>1.191</v>
      </c>
      <c r="R140" s="66">
        <v>1.09</v>
      </c>
      <c r="AG140" s="66">
        <v>3.19</v>
      </c>
      <c r="AH140" s="66">
        <v>1.724</v>
      </c>
      <c r="AJ140" s="66">
        <v>2.089</v>
      </c>
      <c r="AM140" s="66">
        <v>2.07</v>
      </c>
      <c r="BE140" s="66">
        <v>1.716</v>
      </c>
      <c r="BF140" s="66">
        <v>0.937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AG141" s="66">
        <v>3.265</v>
      </c>
      <c r="AH141" s="66">
        <v>1.781</v>
      </c>
      <c r="AJ141" s="66">
        <v>1.917</v>
      </c>
      <c r="AM141" s="66">
        <v>2.189</v>
      </c>
      <c r="AP141" s="66">
        <v>1.854</v>
      </c>
      <c r="BE141" s="90"/>
      <c r="BF141" s="90"/>
      <c r="BH141" s="66" t="s">
        <v>385</v>
      </c>
      <c r="BI141" s="66"/>
      <c r="BJ141" s="66"/>
      <c r="BK141" s="66"/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I142" s="66">
        <v>0.718</v>
      </c>
      <c r="L142" s="66">
        <v>0.798</v>
      </c>
      <c r="AG142" s="66">
        <v>3.343</v>
      </c>
      <c r="AH142" s="66">
        <v>1.841</v>
      </c>
      <c r="AJ142" s="66">
        <v>3.205</v>
      </c>
      <c r="AM142" s="66">
        <v>2.927</v>
      </c>
      <c r="AP142" s="66">
        <v>2.779</v>
      </c>
      <c r="BH142" s="66" t="s">
        <v>386</v>
      </c>
      <c r="BI142" s="66"/>
      <c r="BJ142" s="66"/>
      <c r="BK142" s="66"/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I143" s="66">
        <v>0.821</v>
      </c>
      <c r="L143" s="66">
        <v>0.958</v>
      </c>
      <c r="O143" s="66">
        <v>0.918</v>
      </c>
      <c r="AG143" s="66">
        <v>2.15</v>
      </c>
      <c r="AH143" s="66">
        <v>1.093</v>
      </c>
      <c r="AJ143" s="66">
        <v>1.651</v>
      </c>
      <c r="AM143" s="66">
        <v>1.723</v>
      </c>
      <c r="AP143" s="66">
        <v>2.245</v>
      </c>
      <c r="BE143" s="66">
        <v>1.477</v>
      </c>
      <c r="BF143" s="66">
        <v>0.774</v>
      </c>
      <c r="BH143" s="66" t="s">
        <v>387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I144" s="66">
        <v>1.221</v>
      </c>
      <c r="L144" s="66">
        <v>1.218</v>
      </c>
      <c r="AG144" s="90">
        <v>1.397</v>
      </c>
      <c r="AH144" s="90">
        <v>0.684</v>
      </c>
      <c r="AJ144" s="66">
        <v>2.541</v>
      </c>
      <c r="AM144" s="66">
        <v>2.535</v>
      </c>
      <c r="AP144" s="66">
        <v>2.434</v>
      </c>
      <c r="BE144" s="66">
        <v>1.09</v>
      </c>
      <c r="BF144" s="66">
        <v>0.553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I145" s="66">
        <v>1.268</v>
      </c>
      <c r="L145" s="66">
        <v>1.048</v>
      </c>
      <c r="O145" s="66">
        <v>1.278</v>
      </c>
      <c r="R145" s="66">
        <v>1.198</v>
      </c>
      <c r="AG145" s="66">
        <v>1.264</v>
      </c>
      <c r="AH145" s="66">
        <v>0.567</v>
      </c>
      <c r="AJ145" s="66">
        <v>2.411</v>
      </c>
      <c r="AM145" s="66">
        <v>2.201</v>
      </c>
      <c r="AP145" s="66">
        <v>2.258</v>
      </c>
      <c r="BE145" s="66">
        <v>1.852</v>
      </c>
      <c r="BF145" s="66">
        <v>0.895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I147" s="66">
        <v>1.328</v>
      </c>
      <c r="L147" s="66">
        <v>1.38</v>
      </c>
      <c r="O147" s="66">
        <v>1.258</v>
      </c>
      <c r="R147" s="66">
        <v>1.338</v>
      </c>
      <c r="AJ147" s="66">
        <v>2.816</v>
      </c>
      <c r="AM147" s="66">
        <v>2.702</v>
      </c>
      <c r="AP147" s="66">
        <v>2.675</v>
      </c>
      <c r="BE147" s="66">
        <v>1.216</v>
      </c>
      <c r="BF147" s="66">
        <v>0.613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I148" s="66">
        <v>0.882</v>
      </c>
      <c r="L148" s="66">
        <v>0.934</v>
      </c>
      <c r="O148" s="66">
        <v>0.893</v>
      </c>
      <c r="AG148" s="66">
        <v>1.759</v>
      </c>
      <c r="AH148" s="66">
        <v>0.847</v>
      </c>
      <c r="AJ148" s="66">
        <v>2.401</v>
      </c>
      <c r="AM148" s="66">
        <v>1.991</v>
      </c>
      <c r="AP148" s="66">
        <v>2.271</v>
      </c>
      <c r="BE148" s="66">
        <v>1.735</v>
      </c>
      <c r="BF148" s="66">
        <v>0.859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4" t="s">
        <v>61</v>
      </c>
      <c r="E153" s="66">
        <v>2032.0</v>
      </c>
      <c r="I153" s="66">
        <v>0.821</v>
      </c>
      <c r="L153" s="66">
        <v>0.958</v>
      </c>
      <c r="O153" s="66">
        <v>0.918</v>
      </c>
      <c r="AG153" s="66">
        <v>2.15</v>
      </c>
      <c r="AH153" s="66">
        <v>1.093</v>
      </c>
      <c r="AJ153" s="66">
        <v>1.651</v>
      </c>
      <c r="AM153" s="66">
        <v>1.723</v>
      </c>
      <c r="AP153" s="66">
        <v>2.245</v>
      </c>
      <c r="BE153" s="66">
        <v>1.477</v>
      </c>
      <c r="BF153" s="66">
        <v>0.774</v>
      </c>
    </row>
    <row r="154">
      <c r="D154" s="114" t="s">
        <v>61</v>
      </c>
      <c r="E154" s="66">
        <v>2385.0</v>
      </c>
      <c r="I154" s="66">
        <v>1.049</v>
      </c>
      <c r="L154" s="66">
        <v>1.108</v>
      </c>
      <c r="O154" s="66">
        <v>0.978</v>
      </c>
      <c r="R154" s="66">
        <v>1.041</v>
      </c>
      <c r="AG154" s="66">
        <v>3.145</v>
      </c>
      <c r="AH154" s="66">
        <v>1.496</v>
      </c>
      <c r="BH154" s="66" t="s">
        <v>383</v>
      </c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44685.0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AJ7" s="66">
        <v>2.24</v>
      </c>
      <c r="AM7" s="66">
        <v>1.973</v>
      </c>
      <c r="AP7" s="66">
        <v>1.906</v>
      </c>
      <c r="AS7" s="66">
        <v>2.078</v>
      </c>
      <c r="BE7" s="66">
        <v>1.847</v>
      </c>
      <c r="BF7" s="66">
        <v>1.2166</v>
      </c>
      <c r="BG7" s="81">
        <f t="shared" ref="BG7:BG151" si="1">AVERAGE(BB7,AY7,AV7,AS7,AP7,AM7,AJ7)</f>
        <v>2.04925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BG8" s="81" t="str">
        <f t="shared" si="1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AJ9" s="66">
        <v>2.568</v>
      </c>
      <c r="AM9" s="66">
        <v>2.842</v>
      </c>
      <c r="AP9" s="66">
        <v>2.712</v>
      </c>
      <c r="BE9" s="66">
        <v>1.8</v>
      </c>
      <c r="BF9" s="66">
        <v>1.1043</v>
      </c>
      <c r="BG9" s="81">
        <f t="shared" si="1"/>
        <v>2.707333333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BG10" s="81" t="str">
        <f t="shared" si="1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BG11" s="81" t="str">
        <f t="shared" si="1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BG12" s="81" t="str">
        <f t="shared" si="1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BG13" s="81" t="str">
        <f t="shared" si="1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BG14" s="81" t="str">
        <f t="shared" si="1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BG15" s="81" t="str">
        <f t="shared" si="1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BG16" s="81" t="str">
        <f t="shared" si="1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BG17" s="81" t="str">
        <f t="shared" si="1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AJ18" s="66">
        <v>2.843</v>
      </c>
      <c r="AM18" s="66">
        <v>3.014</v>
      </c>
      <c r="AP18" s="66">
        <v>3.052</v>
      </c>
      <c r="BE18" s="66">
        <v>2.156</v>
      </c>
      <c r="BF18" s="66">
        <v>1.2255</v>
      </c>
      <c r="BG18" s="81">
        <f t="shared" si="1"/>
        <v>2.969666667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BG19" s="81" t="str">
        <f t="shared" si="1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BG20" s="81" t="str">
        <f t="shared" si="1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BG21" s="81" t="str">
        <f t="shared" si="1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BG22" s="81" t="str">
        <f t="shared" si="1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BG23" s="81" t="str">
        <f t="shared" si="1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1.442</v>
      </c>
      <c r="L24" s="66">
        <v>1.208</v>
      </c>
      <c r="O24" s="66">
        <v>1.42</v>
      </c>
      <c r="AJ24" s="66">
        <v>2.608</v>
      </c>
      <c r="AM24" s="66">
        <v>2.621</v>
      </c>
      <c r="AP24" s="66">
        <v>2.676</v>
      </c>
      <c r="AS24" s="66">
        <v>3.056</v>
      </c>
      <c r="AV24" s="66">
        <v>3.0</v>
      </c>
      <c r="BE24" s="66">
        <v>1.615</v>
      </c>
      <c r="BF24" s="66">
        <v>0.913</v>
      </c>
      <c r="BG24" s="81">
        <f t="shared" si="1"/>
        <v>2.7922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BG25" s="81" t="str">
        <f t="shared" si="1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BG26" s="81" t="str">
        <f t="shared" si="1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131">
        <v>1.718</v>
      </c>
      <c r="L27" s="66">
        <v>1.658</v>
      </c>
      <c r="O27" s="66">
        <v>1.658</v>
      </c>
      <c r="AJ27" s="66">
        <v>2.587</v>
      </c>
      <c r="AM27" s="66">
        <v>2.674</v>
      </c>
      <c r="AP27" s="66">
        <v>2.491</v>
      </c>
      <c r="AS27" s="66">
        <v>3.6</v>
      </c>
      <c r="AV27" s="66">
        <v>3.25</v>
      </c>
      <c r="AY27" s="66">
        <v>3.21</v>
      </c>
      <c r="BB27" s="66">
        <v>3.02</v>
      </c>
      <c r="BE27" s="66">
        <v>1.154</v>
      </c>
      <c r="BF27" s="66">
        <v>0.6598</v>
      </c>
      <c r="BG27" s="81">
        <f t="shared" si="1"/>
        <v>2.976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BG28" s="81" t="str">
        <f t="shared" si="1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BG29" s="81" t="str">
        <f t="shared" si="1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1.687</v>
      </c>
      <c r="L30" s="66">
        <v>1.754</v>
      </c>
      <c r="O30" s="66">
        <v>1.638</v>
      </c>
      <c r="AJ30" s="66">
        <v>2.584</v>
      </c>
      <c r="AM30" s="66">
        <v>2.945</v>
      </c>
      <c r="AP30" s="66">
        <v>2.88</v>
      </c>
      <c r="AS30" s="66">
        <v>3.18</v>
      </c>
      <c r="AV30" s="66">
        <v>3.221</v>
      </c>
      <c r="AY30" s="66">
        <v>3.403</v>
      </c>
      <c r="BE30" s="66">
        <v>2.019</v>
      </c>
      <c r="BF30" s="66">
        <v>1.1619</v>
      </c>
      <c r="BG30" s="81">
        <f t="shared" si="1"/>
        <v>3.0355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AJ31" s="66">
        <v>2.926</v>
      </c>
      <c r="AM31" s="66">
        <v>3.034</v>
      </c>
      <c r="BE31" s="66">
        <v>3.026</v>
      </c>
      <c r="BF31" s="66">
        <v>1.9052</v>
      </c>
      <c r="BG31" s="81">
        <f t="shared" si="1"/>
        <v>2.98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AJ32" s="66">
        <v>2.113</v>
      </c>
      <c r="AM32" s="66">
        <v>1.987</v>
      </c>
      <c r="AP32" s="66">
        <v>2.158</v>
      </c>
      <c r="AS32" s="66">
        <v>1.923</v>
      </c>
      <c r="AV32" s="66">
        <v>2.669</v>
      </c>
      <c r="AY32" s="66">
        <v>1.971</v>
      </c>
      <c r="BB32" s="66">
        <v>1.887</v>
      </c>
      <c r="BE32" s="66">
        <v>1.778</v>
      </c>
      <c r="BF32" s="66">
        <v>1.12</v>
      </c>
      <c r="BG32" s="81">
        <f t="shared" si="1"/>
        <v>2.101142857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AJ33" s="66">
        <v>2.945</v>
      </c>
      <c r="AM33" s="66">
        <v>1.987</v>
      </c>
      <c r="BE33" s="66">
        <v>1.803</v>
      </c>
      <c r="BF33" s="66">
        <v>0.9979</v>
      </c>
      <c r="BG33" s="81">
        <f t="shared" si="1"/>
        <v>2.466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AJ34" s="66">
        <v>3.032</v>
      </c>
      <c r="AM34" s="66">
        <v>2.738</v>
      </c>
      <c r="AP34" s="66">
        <v>3.063</v>
      </c>
      <c r="AS34" s="66">
        <v>2.962</v>
      </c>
      <c r="BE34" s="66">
        <v>1.662</v>
      </c>
      <c r="BF34" s="66">
        <v>0.9556</v>
      </c>
      <c r="BG34" s="81">
        <f t="shared" si="1"/>
        <v>2.94875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2.422</v>
      </c>
      <c r="AM35" s="66">
        <v>2.142</v>
      </c>
      <c r="AP35" s="66">
        <v>2.687</v>
      </c>
      <c r="AS35" s="66">
        <v>2.326</v>
      </c>
      <c r="AV35" s="66">
        <v>2.301</v>
      </c>
      <c r="BE35" s="66">
        <v>3.684</v>
      </c>
      <c r="BF35" s="66">
        <v>2.3583</v>
      </c>
      <c r="BG35" s="81">
        <f t="shared" si="1"/>
        <v>2.3756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BG36" s="81" t="str">
        <f t="shared" si="1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BG37" s="81" t="str">
        <f t="shared" si="1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BG38" s="81" t="str">
        <f t="shared" si="1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BG39" s="81" t="str">
        <f t="shared" si="1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BG40" s="81" t="str">
        <f t="shared" si="1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BG41" s="81" t="str">
        <f t="shared" si="1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1.547</v>
      </c>
      <c r="L42" s="66">
        <v>1.448</v>
      </c>
      <c r="O42" s="66">
        <v>1.554</v>
      </c>
      <c r="AJ42" s="66">
        <v>2.034</v>
      </c>
      <c r="AM42" s="66">
        <v>2.484</v>
      </c>
      <c r="AP42" s="66">
        <v>2.308</v>
      </c>
      <c r="AS42" s="66">
        <v>2.671</v>
      </c>
      <c r="AV42" s="66">
        <v>2.667</v>
      </c>
      <c r="AY42" s="66">
        <v>2.84</v>
      </c>
      <c r="BE42" s="66">
        <v>2.26</v>
      </c>
      <c r="BF42" s="66">
        <v>1.2911</v>
      </c>
      <c r="BG42" s="81">
        <f t="shared" si="1"/>
        <v>2.500666667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BG43" s="81" t="str">
        <f t="shared" si="1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BG44" s="81" t="str">
        <f t="shared" si="1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BG45" s="81" t="str">
        <f t="shared" si="1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AJ46" s="66">
        <v>1.204</v>
      </c>
      <c r="AM46" s="66">
        <v>1.233</v>
      </c>
      <c r="AP46" s="66">
        <v>2.064</v>
      </c>
      <c r="AS46" s="66">
        <v>1.48</v>
      </c>
      <c r="AV46" s="66">
        <v>1.44</v>
      </c>
      <c r="AY46" s="66">
        <v>1.45</v>
      </c>
      <c r="BB46" s="66">
        <v>1.7</v>
      </c>
      <c r="BE46" s="66">
        <v>2.404</v>
      </c>
      <c r="BF46" s="66">
        <v>1.4971</v>
      </c>
      <c r="BG46" s="81">
        <f t="shared" si="1"/>
        <v>1.510142857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1.689</v>
      </c>
      <c r="L47" s="66">
        <v>1.846</v>
      </c>
      <c r="O47" s="66">
        <v>1.974</v>
      </c>
      <c r="R47" s="66">
        <v>2.098</v>
      </c>
      <c r="AJ47" s="66">
        <v>2.222</v>
      </c>
      <c r="AM47" s="66">
        <v>2.29</v>
      </c>
      <c r="AP47" s="66">
        <v>2.301</v>
      </c>
      <c r="BE47" s="66">
        <v>1.286</v>
      </c>
      <c r="BF47" s="66">
        <v>0.7422</v>
      </c>
      <c r="BG47" s="81">
        <f t="shared" si="1"/>
        <v>2.271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1.35</v>
      </c>
      <c r="L48" s="66">
        <v>1.782</v>
      </c>
      <c r="O48" s="66">
        <v>1.47</v>
      </c>
      <c r="R48" s="66">
        <v>1.778</v>
      </c>
      <c r="U48" s="66">
        <v>1.452</v>
      </c>
      <c r="AJ48" s="66">
        <v>2.987</v>
      </c>
      <c r="AM48" s="66">
        <v>2.781</v>
      </c>
      <c r="AP48" s="66">
        <v>2.813</v>
      </c>
      <c r="AS48" s="66">
        <v>3.01</v>
      </c>
      <c r="AV48" s="66">
        <v>2.59</v>
      </c>
      <c r="AY48" s="66">
        <v>3.019</v>
      </c>
      <c r="BB48" s="66">
        <v>2.91</v>
      </c>
      <c r="BE48" s="66">
        <v>2.226</v>
      </c>
      <c r="BF48" s="66">
        <v>1.2428</v>
      </c>
      <c r="BG48" s="81">
        <f t="shared" si="1"/>
        <v>2.872857143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BG49" s="81" t="str">
        <f t="shared" si="1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BG50" s="81" t="str">
        <f t="shared" si="1"/>
        <v>#DIV/0!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BG51" s="81" t="str">
        <f t="shared" si="1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BG52" s="81" t="str">
        <f t="shared" si="1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AJ53" s="66">
        <v>3.19</v>
      </c>
      <c r="AM53" s="66">
        <v>3.014</v>
      </c>
      <c r="AP53" s="66">
        <v>3.28</v>
      </c>
      <c r="BE53" s="66">
        <v>1.864</v>
      </c>
      <c r="BF53" s="66">
        <v>1.0471</v>
      </c>
      <c r="BG53" s="81">
        <f t="shared" si="1"/>
        <v>3.161333333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G54" s="81" t="str">
        <f t="shared" si="1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BG55" s="81" t="str">
        <f t="shared" si="1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BG56" s="81" t="str">
        <f t="shared" si="1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BG57" s="81" t="str">
        <f t="shared" si="1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BG58" s="81" t="str">
        <f t="shared" si="1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BG59" s="81" t="str">
        <f t="shared" si="1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BG60" s="81" t="str">
        <f t="shared" si="1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BG61" s="81" t="str">
        <f t="shared" si="1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BG62" s="81" t="str">
        <f t="shared" si="1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BG63" s="81" t="str">
        <f t="shared" si="1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BG64" s="81" t="str">
        <f t="shared" si="1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BG65" s="81" t="str">
        <f t="shared" si="1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BG66" s="81" t="str">
        <f t="shared" si="1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BG67" s="81" t="str">
        <f t="shared" si="1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BG68" s="81" t="str">
        <f t="shared" si="1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BG69" s="81" t="str">
        <f t="shared" si="1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BG70" s="81" t="str">
        <f t="shared" si="1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BG71" s="81" t="str">
        <f t="shared" si="1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BG72" s="81" t="str">
        <f t="shared" si="1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BG73" s="81" t="str">
        <f t="shared" si="1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BG74" s="81" t="str">
        <f t="shared" si="1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2.95</v>
      </c>
      <c r="AM75" s="66">
        <v>2.76</v>
      </c>
      <c r="AP75" s="66">
        <v>3.09</v>
      </c>
      <c r="BE75" s="66">
        <v>2.149</v>
      </c>
      <c r="BF75" s="66">
        <v>1.3816</v>
      </c>
      <c r="BG75" s="81">
        <f t="shared" si="1"/>
        <v>2.933333333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BG76" s="81" t="str">
        <f t="shared" si="1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BG77" s="81" t="str">
        <f t="shared" si="1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BG78" s="81" t="str">
        <f t="shared" si="1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BG79" s="81" t="str">
        <f t="shared" si="1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BG80" s="81" t="str">
        <f t="shared" si="1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BG81" s="81" t="str">
        <f t="shared" si="1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3.21</v>
      </c>
      <c r="AM82" s="66">
        <v>3.2</v>
      </c>
      <c r="AP82" s="66">
        <v>3.17</v>
      </c>
      <c r="BE82" s="66">
        <v>3.076</v>
      </c>
      <c r="BF82" s="66">
        <v>1.867</v>
      </c>
      <c r="BG82" s="81">
        <f t="shared" si="1"/>
        <v>3.193333333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BG83" s="81" t="str">
        <f t="shared" si="1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BG84" s="81" t="str">
        <f t="shared" si="1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BG85" s="81" t="str">
        <f t="shared" si="1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BG86" s="81" t="str">
        <f t="shared" si="1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BG87" s="81" t="str">
        <f t="shared" si="1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BG88" s="81" t="str">
        <f t="shared" si="1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BG89" s="81" t="str">
        <f t="shared" si="1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BG90" s="81" t="str">
        <f t="shared" si="1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2.709</v>
      </c>
      <c r="AM91" s="66">
        <v>2.774</v>
      </c>
      <c r="AP91" s="66">
        <v>2.568</v>
      </c>
      <c r="BE91" s="66">
        <v>1.478</v>
      </c>
      <c r="BF91" s="66">
        <v>0.8194</v>
      </c>
      <c r="BG91" s="81">
        <f t="shared" si="1"/>
        <v>2.683666667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AJ92" s="66">
        <v>3.051</v>
      </c>
      <c r="AM92" s="66">
        <v>3.067</v>
      </c>
      <c r="AP92" s="66">
        <v>2.805</v>
      </c>
      <c r="BE92" s="66">
        <v>1.548</v>
      </c>
      <c r="BF92" s="66">
        <v>0.8816</v>
      </c>
      <c r="BG92" s="81">
        <f t="shared" si="1"/>
        <v>2.974333333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AJ93" s="66">
        <v>3.871</v>
      </c>
      <c r="AM93" s="66">
        <v>3.382</v>
      </c>
      <c r="AP93" s="66">
        <v>3.665</v>
      </c>
      <c r="AS93" s="66">
        <v>3.39</v>
      </c>
      <c r="AV93" s="66">
        <v>3.239</v>
      </c>
      <c r="AY93" s="66">
        <v>3.567</v>
      </c>
      <c r="BE93" s="66">
        <v>1.319</v>
      </c>
      <c r="BF93" s="66">
        <v>0.7525</v>
      </c>
      <c r="BG93" s="81">
        <f t="shared" si="1"/>
        <v>3.519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BG94" s="81" t="str">
        <f t="shared" si="1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BG95" s="81" t="str">
        <f t="shared" si="1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BG96" s="81" t="str">
        <f t="shared" si="1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BG97" s="81" t="str">
        <f t="shared" si="1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BG98" s="81" t="str">
        <f t="shared" si="1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BG99" s="81" t="str">
        <f t="shared" si="1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BG100" s="81" t="str">
        <f t="shared" si="1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BG101" s="81" t="str">
        <f t="shared" si="1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BG102" s="81" t="str">
        <f t="shared" si="1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BG103" s="81" t="str">
        <f t="shared" si="1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BG104" s="81" t="str">
        <f t="shared" si="1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BG105" s="81" t="str">
        <f t="shared" si="1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BG106" s="81" t="str">
        <f t="shared" si="1"/>
        <v>#DIV/0!</v>
      </c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AJ107" s="66">
        <v>2.4</v>
      </c>
      <c r="AM107" s="66">
        <v>2.5</v>
      </c>
      <c r="AP107" s="66">
        <v>2.62</v>
      </c>
      <c r="AS107" s="66">
        <v>2.9</v>
      </c>
      <c r="AV107" s="66">
        <v>2.8</v>
      </c>
      <c r="AY107" s="66">
        <v>2.65</v>
      </c>
      <c r="BE107" s="66">
        <v>2.763</v>
      </c>
      <c r="BF107" s="66">
        <v>1.5575</v>
      </c>
      <c r="BG107" s="81">
        <f t="shared" si="1"/>
        <v>2.645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  <c r="BG108" s="81" t="str">
        <f t="shared" si="1"/>
        <v>#DIV/0!</v>
      </c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  <c r="BG109" s="81" t="str">
        <f t="shared" si="1"/>
        <v>#DIV/0!</v>
      </c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AJ110" s="66">
        <v>2.339</v>
      </c>
      <c r="AM110" s="66">
        <v>2.245</v>
      </c>
      <c r="AP110" s="66">
        <v>2.553</v>
      </c>
      <c r="BE110" s="66">
        <v>2.727</v>
      </c>
      <c r="BF110" s="66">
        <v>1.5983</v>
      </c>
      <c r="BG110" s="81">
        <f t="shared" si="1"/>
        <v>2.379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AJ111" s="66">
        <v>2.25</v>
      </c>
      <c r="AM111" s="66">
        <v>2.29</v>
      </c>
      <c r="AP111" s="66">
        <v>2.17</v>
      </c>
      <c r="BE111" s="66">
        <v>2.818</v>
      </c>
      <c r="BF111" s="66">
        <v>1.6356</v>
      </c>
      <c r="BG111" s="81">
        <f t="shared" si="1"/>
        <v>2.236666667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AJ112" s="66">
        <v>3.157</v>
      </c>
      <c r="AM112" s="66">
        <v>2.714</v>
      </c>
      <c r="AP112" s="66">
        <v>2.624</v>
      </c>
      <c r="AS112" s="66">
        <v>2.902</v>
      </c>
      <c r="BE112" s="66">
        <v>1.861</v>
      </c>
      <c r="BF112" s="66">
        <v>1.0737</v>
      </c>
      <c r="BG112" s="81">
        <f t="shared" si="1"/>
        <v>2.84925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G113" s="81" t="str">
        <f t="shared" si="1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BG114" s="81" t="str">
        <f t="shared" si="1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BG115" s="81" t="str">
        <f t="shared" si="1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BG116" s="81" t="str">
        <f t="shared" si="1"/>
        <v>#DIV/0!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BG117" s="81" t="str">
        <f t="shared" si="1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BG118" s="81" t="str">
        <f t="shared" si="1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BG119" s="81" t="str">
        <f t="shared" si="1"/>
        <v>#DIV/0!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BG120" s="81" t="str">
        <f t="shared" si="1"/>
        <v>#DIV/0!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BG121" s="81" t="str">
        <f t="shared" si="1"/>
        <v>#DIV/0!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BG122" s="81" t="str">
        <f t="shared" si="1"/>
        <v>#DIV/0!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BG123" s="81" t="str">
        <f t="shared" si="1"/>
        <v>#DIV/0!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BG124" s="81" t="str">
        <f t="shared" si="1"/>
        <v>#DIV/0!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BG125" s="81" t="str">
        <f t="shared" si="1"/>
        <v>#DIV/0!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BG126" s="81" t="str">
        <f t="shared" si="1"/>
        <v>#DIV/0!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BG127" s="81" t="str">
        <f t="shared" si="1"/>
        <v>#DIV/0!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BG128" s="81" t="str">
        <f t="shared" si="1"/>
        <v>#DIV/0!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BG129" s="81" t="str">
        <f t="shared" si="1"/>
        <v>#DIV/0!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BG130" s="81" t="str">
        <f t="shared" si="1"/>
        <v>#DIV/0!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BG131" s="81" t="str">
        <f t="shared" si="1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BG132" s="81" t="str">
        <f t="shared" si="1"/>
        <v>#DIV/0!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BG133" s="81" t="str">
        <f t="shared" si="1"/>
        <v>#DIV/0!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BG134" s="81" t="str">
        <f t="shared" si="1"/>
        <v>#DIV/0!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BG135" s="81" t="str">
        <f t="shared" si="1"/>
        <v>#DIV/0!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BG136" s="81" t="str">
        <f t="shared" si="1"/>
        <v>#DIV/0!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BG137" s="81" t="str">
        <f t="shared" si="1"/>
        <v>#DIV/0!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BG138" s="81" t="str">
        <f t="shared" si="1"/>
        <v>#DIV/0!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BG139" s="81" t="str">
        <f t="shared" si="1"/>
        <v>#DIV/0!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BG140" s="81" t="str">
        <f t="shared" si="1"/>
        <v>#DIV/0!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BG141" s="81" t="str">
        <f t="shared" si="1"/>
        <v>#DIV/0!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BG142" s="81" t="str">
        <f t="shared" si="1"/>
        <v>#DIV/0!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BG143" s="81" t="str">
        <f t="shared" si="1"/>
        <v>#DIV/0!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BG144" s="81" t="str">
        <f t="shared" si="1"/>
        <v>#DIV/0!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BG145" s="81" t="str">
        <f t="shared" si="1"/>
        <v>#DIV/0!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  <c r="BG146" s="81" t="str">
        <f t="shared" si="1"/>
        <v>#DIV/0!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BG147" s="81" t="str">
        <f t="shared" si="1"/>
        <v>#DIV/0!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BG148" s="81" t="str">
        <f t="shared" si="1"/>
        <v>#DIV/0!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2.95</v>
      </c>
      <c r="AM149" s="66">
        <v>3.45</v>
      </c>
      <c r="AP149" s="66">
        <v>3.1</v>
      </c>
      <c r="AS149" s="66">
        <v>2.92</v>
      </c>
      <c r="BE149" s="66">
        <v>1.945</v>
      </c>
      <c r="BF149" s="66">
        <v>1.1256</v>
      </c>
      <c r="BG149" s="81">
        <f t="shared" si="1"/>
        <v>3.105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AJ150" s="66">
        <v>2.447</v>
      </c>
      <c r="AM150" s="66">
        <v>2.669</v>
      </c>
      <c r="AP150" s="66">
        <v>2.124</v>
      </c>
      <c r="AS150" s="66">
        <v>2.549</v>
      </c>
      <c r="BE150" s="66">
        <v>3.455</v>
      </c>
      <c r="BF150" s="66">
        <v>1.9549</v>
      </c>
      <c r="BG150" s="81">
        <f t="shared" si="1"/>
        <v>2.44725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AJ151" s="66">
        <v>2.785</v>
      </c>
      <c r="AM151" s="66">
        <v>2.86</v>
      </c>
      <c r="AP151" s="66">
        <v>3.134</v>
      </c>
      <c r="AS151" s="66">
        <v>3.071</v>
      </c>
      <c r="AV151" s="66">
        <v>2.921</v>
      </c>
      <c r="BE151" s="66">
        <v>2.075</v>
      </c>
      <c r="BF151" s="66">
        <v>1.2304</v>
      </c>
      <c r="BG151" s="81">
        <f t="shared" si="1"/>
        <v>2.9542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44690.0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388</v>
      </c>
      <c r="BF6" s="35" t="s">
        <v>389</v>
      </c>
      <c r="BG6" s="35" t="s">
        <v>390</v>
      </c>
      <c r="BH6" s="35" t="s">
        <v>391</v>
      </c>
      <c r="BI6" s="35" t="s">
        <v>302</v>
      </c>
      <c r="BJ6" s="36" t="s">
        <v>45</v>
      </c>
      <c r="BK6" s="14"/>
      <c r="BL6" s="14"/>
      <c r="BM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1.026</v>
      </c>
      <c r="L7" s="66">
        <v>1.613</v>
      </c>
      <c r="O7" s="66">
        <v>1.218</v>
      </c>
      <c r="R7" s="66">
        <v>1.79</v>
      </c>
      <c r="U7" s="66">
        <v>3.028</v>
      </c>
      <c r="X7" s="66">
        <v>1.848</v>
      </c>
      <c r="AG7" s="66">
        <v>1.66</v>
      </c>
      <c r="AH7" s="66">
        <v>1.002</v>
      </c>
      <c r="AJ7" s="66">
        <v>2.128</v>
      </c>
      <c r="AM7" s="66">
        <v>2.065</v>
      </c>
      <c r="AP7" s="66">
        <v>2.455</v>
      </c>
      <c r="BE7" s="66">
        <v>0.5678</v>
      </c>
      <c r="BF7" s="66">
        <v>0.3643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1.89</v>
      </c>
      <c r="L9" s="66">
        <v>2.26</v>
      </c>
      <c r="O9" s="66">
        <v>1.818</v>
      </c>
      <c r="AG9" s="66">
        <v>1.53</v>
      </c>
      <c r="AH9" s="66">
        <v>0.987</v>
      </c>
      <c r="AJ9" s="66">
        <v>2.443</v>
      </c>
      <c r="AM9" s="66">
        <v>3.074</v>
      </c>
      <c r="AP9" s="66">
        <v>2.487</v>
      </c>
      <c r="AS9" s="66">
        <v>3.347</v>
      </c>
      <c r="BE9" s="66">
        <v>1.2485</v>
      </c>
      <c r="BF9" s="66">
        <v>0.7573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I23" s="66">
        <v>1.578</v>
      </c>
      <c r="L23" s="66">
        <v>1.458</v>
      </c>
      <c r="O23" s="66">
        <v>1.554</v>
      </c>
      <c r="AG23" s="66">
        <v>1.66</v>
      </c>
      <c r="AH23" s="66">
        <v>0.95</v>
      </c>
      <c r="AJ23" s="66">
        <v>2.787</v>
      </c>
      <c r="AM23" s="66">
        <v>3.0</v>
      </c>
      <c r="AP23" s="66">
        <v>2.799</v>
      </c>
      <c r="BE23" s="66">
        <v>1.6638</v>
      </c>
      <c r="BF23" s="66">
        <v>0.9361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1.442</v>
      </c>
      <c r="L24" s="66">
        <v>1.208</v>
      </c>
      <c r="O24" s="66">
        <v>1.42</v>
      </c>
      <c r="AG24" s="66">
        <v>1.51</v>
      </c>
      <c r="AH24" s="66">
        <v>0.81</v>
      </c>
      <c r="AJ24" s="66">
        <v>2.608</v>
      </c>
      <c r="AM24" s="66">
        <v>2.621</v>
      </c>
      <c r="BE24" s="66">
        <v>1.6895</v>
      </c>
      <c r="BF24" s="66">
        <v>0.9308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1.718</v>
      </c>
      <c r="L27" s="66">
        <v>1.658</v>
      </c>
      <c r="O27" s="66">
        <v>1.658</v>
      </c>
      <c r="AG27" s="66">
        <v>1.85</v>
      </c>
      <c r="AH27" s="66">
        <v>1.06</v>
      </c>
      <c r="AJ27" s="66">
        <v>2.587</v>
      </c>
      <c r="AM27" s="66">
        <v>2.674</v>
      </c>
      <c r="AP27" s="66">
        <v>2.491</v>
      </c>
      <c r="BE27" s="66">
        <v>1.5878</v>
      </c>
      <c r="BF27" s="66">
        <v>0.8552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1.687</v>
      </c>
      <c r="L30" s="66">
        <v>1.754</v>
      </c>
      <c r="O30" s="66">
        <v>1.638</v>
      </c>
      <c r="AG30" s="66">
        <v>1.98</v>
      </c>
      <c r="AH30" s="66">
        <v>1.142</v>
      </c>
      <c r="AJ30" s="66">
        <v>2.584</v>
      </c>
      <c r="AM30" s="66">
        <v>2.945</v>
      </c>
      <c r="AP30" s="66">
        <v>2.88</v>
      </c>
      <c r="BE30" s="66">
        <v>0.9537</v>
      </c>
      <c r="BF30" s="66">
        <v>0.5253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0.778</v>
      </c>
      <c r="L31" s="66">
        <v>0.587</v>
      </c>
      <c r="O31" s="66">
        <v>0.802</v>
      </c>
      <c r="R31" s="66">
        <v>0.739</v>
      </c>
      <c r="AG31" s="66">
        <v>1.99</v>
      </c>
      <c r="AH31" s="66">
        <v>1.261</v>
      </c>
      <c r="AJ31" s="66">
        <v>3.781</v>
      </c>
      <c r="AM31" s="66">
        <v>3.295</v>
      </c>
      <c r="AP31" s="66">
        <v>3.441</v>
      </c>
      <c r="BE31" s="66">
        <v>0.8249</v>
      </c>
      <c r="BF31" s="66">
        <v>0.5065</v>
      </c>
      <c r="BG31" s="66">
        <v>1.3655</v>
      </c>
      <c r="BH31" s="66">
        <v>0.8349</v>
      </c>
      <c r="BJ31" s="66" t="s">
        <v>392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0.608</v>
      </c>
      <c r="L32" s="66">
        <v>0.538</v>
      </c>
      <c r="O32" s="66">
        <v>0.604</v>
      </c>
      <c r="AG32" s="66">
        <v>1.87</v>
      </c>
      <c r="AH32" s="66">
        <v>1.189</v>
      </c>
      <c r="AJ32" s="66">
        <v>2.04</v>
      </c>
      <c r="AM32" s="66">
        <v>1.721</v>
      </c>
      <c r="AP32" s="66">
        <v>1.593</v>
      </c>
      <c r="AS32" s="66">
        <v>1.598</v>
      </c>
      <c r="AV32" s="66">
        <v>1.899</v>
      </c>
      <c r="AY32" s="66">
        <v>1.788</v>
      </c>
      <c r="BE32" s="66">
        <v>1.8462</v>
      </c>
      <c r="BF32" s="66">
        <v>1.0575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1.53</v>
      </c>
      <c r="L33" s="66">
        <v>1.56</v>
      </c>
      <c r="O33" s="66">
        <v>1.56</v>
      </c>
      <c r="AG33" s="66">
        <v>1.64</v>
      </c>
      <c r="AH33" s="66">
        <v>0.913</v>
      </c>
      <c r="BE33" s="66">
        <v>1.7063</v>
      </c>
      <c r="BF33" s="66">
        <v>0.9143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1.748</v>
      </c>
      <c r="L34" s="66">
        <v>1.59</v>
      </c>
      <c r="O34" s="66">
        <v>1.538</v>
      </c>
      <c r="AG34" s="66">
        <v>2.46</v>
      </c>
      <c r="AH34" s="66">
        <v>1.396</v>
      </c>
      <c r="AJ34" s="66">
        <v>2.37</v>
      </c>
      <c r="AM34" s="66">
        <v>2.448</v>
      </c>
      <c r="AP34" s="66">
        <v>2.483</v>
      </c>
      <c r="BE34" s="66">
        <v>1.7966</v>
      </c>
      <c r="BF34" s="66">
        <v>0.9764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0.542</v>
      </c>
      <c r="L35" s="66">
        <v>0.538</v>
      </c>
      <c r="O35" s="66">
        <v>0.465</v>
      </c>
      <c r="AG35" s="66">
        <v>1.57</v>
      </c>
      <c r="AH35" s="66">
        <v>1.002</v>
      </c>
      <c r="AJ35" s="66">
        <v>1.902</v>
      </c>
      <c r="AM35" s="66">
        <v>1.791</v>
      </c>
      <c r="AP35" s="66">
        <v>1.534</v>
      </c>
      <c r="BE35" s="66">
        <v>2.1975</v>
      </c>
      <c r="BF35" s="66">
        <v>1.378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1.448</v>
      </c>
      <c r="L42" s="66">
        <v>1.554</v>
      </c>
      <c r="O42" s="66">
        <v>1.457</v>
      </c>
      <c r="AG42" s="66">
        <v>3.81</v>
      </c>
      <c r="AH42" s="66">
        <v>2.145</v>
      </c>
      <c r="AJ42" s="66">
        <v>2.034</v>
      </c>
      <c r="AM42" s="66">
        <v>2.484</v>
      </c>
      <c r="AP42" s="66">
        <v>2.308</v>
      </c>
      <c r="BE42" s="66">
        <v>2.2237</v>
      </c>
      <c r="BF42" s="66">
        <v>0.2233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0.648</v>
      </c>
      <c r="L46" s="66">
        <v>1.306</v>
      </c>
      <c r="O46" s="66">
        <v>0.982</v>
      </c>
      <c r="R46" s="66">
        <v>0.698</v>
      </c>
      <c r="U46" s="66">
        <v>1.054</v>
      </c>
      <c r="X46" s="66">
        <v>0.715</v>
      </c>
      <c r="AA46" s="66">
        <v>0.516</v>
      </c>
      <c r="AG46" s="66">
        <v>0.93</v>
      </c>
      <c r="AH46" s="66">
        <v>0.577</v>
      </c>
      <c r="AJ46" s="66">
        <v>1.204</v>
      </c>
      <c r="AM46" s="66">
        <v>1.233</v>
      </c>
      <c r="BE46" s="66">
        <v>0.1924</v>
      </c>
      <c r="BF46" s="66">
        <v>0.1064</v>
      </c>
      <c r="BG46" s="66">
        <v>0.9227</v>
      </c>
      <c r="BH46" s="66">
        <v>0.5504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1.689</v>
      </c>
      <c r="L47" s="66">
        <v>1.864</v>
      </c>
      <c r="O47" s="66">
        <v>1.974</v>
      </c>
      <c r="R47" s="66">
        <v>2.098</v>
      </c>
      <c r="AG47" s="66">
        <v>1.88</v>
      </c>
      <c r="AH47" s="66">
        <v>1.075</v>
      </c>
      <c r="AJ47" s="66">
        <v>2.715</v>
      </c>
      <c r="AM47" s="66">
        <v>2.144</v>
      </c>
      <c r="AP47" s="66">
        <v>2.585</v>
      </c>
      <c r="BE47" s="66">
        <v>1.9133</v>
      </c>
      <c r="BF47" s="66">
        <v>1.0674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1.35</v>
      </c>
      <c r="L48" s="66">
        <v>1.728</v>
      </c>
      <c r="O48" s="66">
        <v>1.47</v>
      </c>
      <c r="R48" s="66">
        <v>1.778</v>
      </c>
      <c r="U48" s="66">
        <v>1.452</v>
      </c>
      <c r="AG48" s="66">
        <v>1.67</v>
      </c>
      <c r="AH48" s="66">
        <v>0.932</v>
      </c>
      <c r="AJ48" s="66">
        <v>2.987</v>
      </c>
      <c r="AM48" s="66">
        <v>2.781</v>
      </c>
      <c r="AP48" s="66">
        <v>2.813</v>
      </c>
      <c r="BE48" s="66">
        <v>1.5129</v>
      </c>
      <c r="BF48" s="66">
        <v>0.8076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1.445</v>
      </c>
      <c r="L53" s="66">
        <v>1.251</v>
      </c>
      <c r="O53" s="66">
        <v>1.431</v>
      </c>
      <c r="R53" s="66">
        <v>1.808</v>
      </c>
      <c r="U53" s="66">
        <v>1.328</v>
      </c>
      <c r="X53" s="66">
        <v>2.074</v>
      </c>
      <c r="AJ53" s="66">
        <v>2.673</v>
      </c>
      <c r="AM53" s="66">
        <v>2.404</v>
      </c>
      <c r="AP53" s="66">
        <v>2.731</v>
      </c>
      <c r="BE53" s="66">
        <v>1.6834</v>
      </c>
      <c r="BF53" s="66">
        <v>0.9088</v>
      </c>
      <c r="BJ53" s="66" t="s">
        <v>393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E54" s="66">
        <v>2.8503</v>
      </c>
      <c r="BF54" s="66">
        <v>1.7589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1.23</v>
      </c>
      <c r="L75" s="66">
        <v>1.3</v>
      </c>
      <c r="O75" s="66">
        <v>1.279</v>
      </c>
      <c r="AG75" s="66">
        <v>2.45</v>
      </c>
      <c r="AH75" s="66">
        <v>1.576</v>
      </c>
      <c r="AJ75" s="66">
        <v>2.377</v>
      </c>
      <c r="AM75" s="66">
        <v>2.348</v>
      </c>
      <c r="BE75" s="66">
        <v>1.7699</v>
      </c>
      <c r="BF75" s="66">
        <v>1.0888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1.973</v>
      </c>
      <c r="L82" s="66">
        <v>1.781</v>
      </c>
      <c r="O82" s="66">
        <v>1.881</v>
      </c>
      <c r="AG82" s="66">
        <v>2.84</v>
      </c>
      <c r="AH82" s="66">
        <v>1.715</v>
      </c>
      <c r="AJ82" s="66">
        <v>3.301</v>
      </c>
      <c r="AM82" s="66">
        <v>3.104</v>
      </c>
      <c r="AP82" s="66">
        <v>3.005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2.166</v>
      </c>
      <c r="AM91" s="66">
        <v>2.566</v>
      </c>
      <c r="AP91" s="66">
        <v>2.304</v>
      </c>
      <c r="BE91" s="66">
        <v>1.1691</v>
      </c>
      <c r="BF91" s="66">
        <v>0.6274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1.192</v>
      </c>
      <c r="L92" s="66">
        <v>1.078</v>
      </c>
      <c r="O92" s="66">
        <v>1.314</v>
      </c>
      <c r="R92" s="66">
        <v>1.476</v>
      </c>
      <c r="AG92" s="66">
        <v>1.55</v>
      </c>
      <c r="AH92" s="66">
        <v>0.838</v>
      </c>
      <c r="AJ92" s="66">
        <v>2.271</v>
      </c>
      <c r="AM92" s="66">
        <v>2.052</v>
      </c>
      <c r="AP92" s="66">
        <v>2.571</v>
      </c>
      <c r="BE92" s="66">
        <v>1.676</v>
      </c>
      <c r="BF92" s="66">
        <v>0.899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1.884</v>
      </c>
      <c r="L93" s="66">
        <v>1.818</v>
      </c>
      <c r="AG93" s="66">
        <v>1.35</v>
      </c>
      <c r="AH93" s="66">
        <v>0.795</v>
      </c>
      <c r="AJ93" s="66">
        <v>1.972</v>
      </c>
      <c r="AM93" s="66">
        <v>1.981</v>
      </c>
      <c r="BE93" s="66">
        <v>0.8951</v>
      </c>
      <c r="BF93" s="66">
        <v>0.4875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2.418</v>
      </c>
      <c r="L107" s="66">
        <v>2.154</v>
      </c>
      <c r="O107" s="66">
        <v>2.428</v>
      </c>
      <c r="R107" s="66">
        <v>2.443</v>
      </c>
      <c r="AG107" s="66">
        <v>2.15</v>
      </c>
      <c r="AH107" s="66">
        <v>1.185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1.751</v>
      </c>
      <c r="L110" s="66">
        <v>1.588</v>
      </c>
      <c r="O110" s="66">
        <v>1.621</v>
      </c>
      <c r="AG110" s="66">
        <v>2.11</v>
      </c>
      <c r="AH110" s="66">
        <v>1.254</v>
      </c>
      <c r="AJ110" s="66">
        <v>2.482</v>
      </c>
      <c r="AM110" s="66">
        <v>2.691</v>
      </c>
      <c r="AP110" s="66">
        <v>3.297</v>
      </c>
      <c r="AS110" s="66">
        <v>2.699</v>
      </c>
      <c r="BE110" s="66">
        <v>0.8552</v>
      </c>
      <c r="BF110" s="66">
        <v>0.4786</v>
      </c>
      <c r="BJ110" s="66" t="s">
        <v>394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1.745</v>
      </c>
      <c r="L111" s="66">
        <v>1.498</v>
      </c>
      <c r="O111" s="66">
        <v>1.538</v>
      </c>
      <c r="R111" s="66">
        <v>1.578</v>
      </c>
      <c r="AG111" s="66">
        <v>1.73</v>
      </c>
      <c r="AH111" s="66">
        <v>0.99</v>
      </c>
      <c r="AJ111" s="66">
        <v>2.465</v>
      </c>
      <c r="AM111" s="66">
        <v>2.495</v>
      </c>
      <c r="BE111" s="66">
        <v>1.6424</v>
      </c>
      <c r="BF111" s="66">
        <v>0.9134</v>
      </c>
      <c r="BJ111" s="66" t="s">
        <v>395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1.818</v>
      </c>
      <c r="L112" s="66">
        <v>1.788</v>
      </c>
      <c r="AG112" s="66">
        <v>0.94</v>
      </c>
      <c r="AH112" s="66">
        <v>0.561</v>
      </c>
      <c r="AJ112" s="66">
        <v>2.291</v>
      </c>
      <c r="AM112" s="66">
        <v>2.3</v>
      </c>
      <c r="AP112" s="66">
        <v>2.342</v>
      </c>
      <c r="BE112" s="66">
        <v>2.5895</v>
      </c>
      <c r="BF112" s="66">
        <v>1.4462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E113" s="66">
        <v>0.6115</v>
      </c>
      <c r="BF113" s="66">
        <v>0.3409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AJ114" s="66">
        <v>2.681</v>
      </c>
      <c r="AM114" s="66">
        <v>2.401</v>
      </c>
      <c r="AP114" s="66">
        <v>2.388</v>
      </c>
      <c r="BE114" s="66">
        <v>1.1425</v>
      </c>
      <c r="BF114" s="66">
        <v>0.6279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AJ115" s="66">
        <v>2.433</v>
      </c>
      <c r="AM115" s="66">
        <v>2.278</v>
      </c>
      <c r="AP115" s="66">
        <v>2.371</v>
      </c>
      <c r="BE115" s="66">
        <v>1.4839</v>
      </c>
      <c r="BF115" s="66">
        <v>0.8142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AJ116" s="66">
        <v>2.266</v>
      </c>
      <c r="AM116" s="66">
        <v>2.168</v>
      </c>
      <c r="AP116" s="66">
        <v>2.279</v>
      </c>
      <c r="BE116" s="66">
        <v>0.6647</v>
      </c>
      <c r="BF116" s="66">
        <v>0.3739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3.128</v>
      </c>
      <c r="L117" s="66">
        <v>2.898</v>
      </c>
      <c r="O117" s="66">
        <v>2.668</v>
      </c>
      <c r="R117" s="66">
        <v>2.8</v>
      </c>
      <c r="U117" s="66">
        <v>2.712</v>
      </c>
      <c r="X117" s="66">
        <v>2.128</v>
      </c>
      <c r="AG117" s="66">
        <v>0.61</v>
      </c>
      <c r="AH117" s="66">
        <v>0.327</v>
      </c>
      <c r="BE117" s="66">
        <v>0.5847</v>
      </c>
      <c r="BF117" s="66">
        <v>0.293</v>
      </c>
      <c r="BJ117" s="137" t="s">
        <v>396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BJ118" s="137"/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AJ119" s="66">
        <v>3.62</v>
      </c>
      <c r="AM119" s="66">
        <v>3.63</v>
      </c>
      <c r="AP119" s="66">
        <v>3.65</v>
      </c>
      <c r="BE119" s="66">
        <v>0.3116</v>
      </c>
      <c r="BF119" s="66">
        <v>0.1662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G120" s="66">
        <v>1.93</v>
      </c>
      <c r="AH120" s="66">
        <v>0.978</v>
      </c>
      <c r="BE120" s="66">
        <v>2.1345</v>
      </c>
      <c r="BF120" s="66">
        <v>1.1296</v>
      </c>
      <c r="BJ120" s="66" t="s">
        <v>397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2.689</v>
      </c>
      <c r="L121" s="66">
        <v>3.088</v>
      </c>
      <c r="O121" s="66">
        <v>3.188</v>
      </c>
      <c r="R121" s="66">
        <v>2.998</v>
      </c>
      <c r="U121" s="66">
        <v>3.012</v>
      </c>
      <c r="X121" s="66">
        <v>3.438</v>
      </c>
      <c r="AG121" s="66">
        <v>2.22</v>
      </c>
      <c r="AH121" s="66">
        <v>1.174</v>
      </c>
      <c r="BE121" s="66">
        <v>2.2262</v>
      </c>
      <c r="BF121" s="66">
        <v>1.0849</v>
      </c>
      <c r="BJ121" s="66" t="s">
        <v>398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AJ122" s="66">
        <v>4.112</v>
      </c>
      <c r="AM122" s="66">
        <v>4.888</v>
      </c>
      <c r="AP122" s="66">
        <v>4.818</v>
      </c>
      <c r="AS122" s="66">
        <v>4.42</v>
      </c>
      <c r="AV122" s="66">
        <v>4.832</v>
      </c>
      <c r="AY122" s="66">
        <v>4.172</v>
      </c>
      <c r="BE122" s="66">
        <v>1.5428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AJ123" s="66">
        <v>2.161</v>
      </c>
      <c r="AM123" s="66">
        <v>1.709</v>
      </c>
      <c r="AP123" s="66">
        <v>1.764</v>
      </c>
      <c r="AS123" s="66">
        <v>1.942</v>
      </c>
      <c r="AV123" s="66">
        <v>1.701</v>
      </c>
      <c r="AY123" s="66">
        <v>1.719</v>
      </c>
      <c r="BE123" s="66">
        <v>1.0429</v>
      </c>
      <c r="BF123" s="66">
        <v>0.551</v>
      </c>
      <c r="BG123" s="66">
        <v>1.5655</v>
      </c>
      <c r="BH123" s="66">
        <v>0.9065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AJ124" s="66">
        <v>1.195</v>
      </c>
      <c r="AM124" s="66">
        <v>1.371</v>
      </c>
      <c r="AP124" s="66">
        <v>1.172</v>
      </c>
      <c r="AS124" s="66">
        <v>1.372</v>
      </c>
      <c r="AV124" s="66">
        <v>2.512</v>
      </c>
      <c r="AY124" s="66">
        <v>1.081</v>
      </c>
      <c r="BB124" s="66">
        <v>1.484</v>
      </c>
      <c r="BE124" s="66">
        <v>0.4754</v>
      </c>
      <c r="BF124" s="66">
        <v>0.2304</v>
      </c>
      <c r="BG124" s="66">
        <v>1.2411</v>
      </c>
      <c r="BH124" s="66">
        <v>0.7308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AJ125" s="66">
        <v>1.3</v>
      </c>
      <c r="AM125" s="66">
        <v>1.281</v>
      </c>
      <c r="AP125" s="66">
        <v>1.302</v>
      </c>
      <c r="BE125" s="66">
        <v>1.3901</v>
      </c>
      <c r="BF125" s="66">
        <v>0.7436</v>
      </c>
      <c r="BG125" s="66">
        <v>0.8809</v>
      </c>
      <c r="BH125" s="66">
        <v>0.5315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AJ126" s="66">
        <v>2.164</v>
      </c>
      <c r="AM126" s="66">
        <v>1.987</v>
      </c>
      <c r="AP126" s="66">
        <v>1.866</v>
      </c>
      <c r="BE126" s="66">
        <v>0.8165</v>
      </c>
      <c r="BF126" s="66">
        <v>0.4201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AJ127" s="66">
        <v>1.352</v>
      </c>
      <c r="AM127" s="66">
        <v>1.139</v>
      </c>
      <c r="AP127" s="66">
        <v>1.437</v>
      </c>
      <c r="BE127" s="66">
        <v>1.5204</v>
      </c>
      <c r="BF127" s="138">
        <v>0.5982</v>
      </c>
      <c r="BG127" s="66">
        <v>1.1121</v>
      </c>
      <c r="BH127" s="66">
        <v>0.6577</v>
      </c>
      <c r="BJ127" s="66" t="s">
        <v>399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AJ128" s="66">
        <v>1.374</v>
      </c>
      <c r="AM128" s="66">
        <v>1.743</v>
      </c>
      <c r="AP128" s="66">
        <v>1.841</v>
      </c>
      <c r="BE128" s="66">
        <v>1.0691</v>
      </c>
      <c r="BF128" s="66">
        <v>0.5539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AJ129" s="66">
        <v>1.701</v>
      </c>
      <c r="AM129" s="66">
        <v>1.778</v>
      </c>
      <c r="BE129" s="66">
        <v>1.6682</v>
      </c>
      <c r="BF129" s="66">
        <v>0.859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AJ130" s="66">
        <v>2.11</v>
      </c>
      <c r="AM130" s="66">
        <v>2.281</v>
      </c>
      <c r="AP130" s="66">
        <v>2.332</v>
      </c>
      <c r="BE130" s="66">
        <v>2.7854</v>
      </c>
      <c r="BF130" s="66">
        <v>1.4427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AJ131" s="66">
        <v>2.182</v>
      </c>
      <c r="AM131" s="66">
        <v>2.372</v>
      </c>
      <c r="AP131" s="66">
        <v>2.332</v>
      </c>
      <c r="BE131" s="66">
        <v>1.2978</v>
      </c>
      <c r="BF131" s="66">
        <v>0.6851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1.368</v>
      </c>
      <c r="L132" s="66">
        <v>1.588</v>
      </c>
      <c r="O132" s="66">
        <v>1.621</v>
      </c>
      <c r="R132" s="66">
        <v>1.538</v>
      </c>
      <c r="AG132" s="66">
        <v>1.65</v>
      </c>
      <c r="AH132" s="66">
        <v>0.912</v>
      </c>
      <c r="AJ132" s="66">
        <v>2.37</v>
      </c>
      <c r="AM132" s="66">
        <v>2.256</v>
      </c>
      <c r="AP132" s="66">
        <v>2.041</v>
      </c>
      <c r="AS132" s="66">
        <v>2.214</v>
      </c>
      <c r="BE132" s="66">
        <v>1.8409</v>
      </c>
      <c r="BF132" s="66">
        <v>0.995</v>
      </c>
      <c r="BG132" s="66">
        <v>3.3242</v>
      </c>
      <c r="BH132" s="66">
        <v>1.7994</v>
      </c>
      <c r="BJ132" s="66" t="s">
        <v>400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1.281</v>
      </c>
      <c r="L133" s="66">
        <v>1.269</v>
      </c>
      <c r="O133" s="66">
        <v>1.291</v>
      </c>
      <c r="AG133" s="66">
        <v>2.06</v>
      </c>
      <c r="AH133" s="66">
        <v>1.193</v>
      </c>
      <c r="AJ133" s="66">
        <v>2.144</v>
      </c>
      <c r="AM133" s="66">
        <v>2.04</v>
      </c>
      <c r="BE133" s="66">
        <v>1.0145</v>
      </c>
      <c r="BF133" s="66">
        <v>0.5536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1.294</v>
      </c>
      <c r="L134" s="66">
        <v>1.396</v>
      </c>
      <c r="O134" s="66">
        <v>1.478</v>
      </c>
      <c r="R134" s="66">
        <v>1.208</v>
      </c>
      <c r="AG134" s="66">
        <v>3.29</v>
      </c>
      <c r="AH134" s="66">
        <v>1.774</v>
      </c>
      <c r="AJ134" s="66">
        <v>2.091</v>
      </c>
      <c r="AM134" s="66">
        <v>2.035</v>
      </c>
      <c r="BF134" s="66">
        <v>1.1778</v>
      </c>
      <c r="BJ134" s="66" t="s">
        <v>401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1.27</v>
      </c>
      <c r="L135" s="66">
        <v>1.088</v>
      </c>
      <c r="O135" s="66">
        <v>1.089</v>
      </c>
      <c r="R135" s="66">
        <v>1.358</v>
      </c>
      <c r="U135" s="66">
        <v>1.479</v>
      </c>
      <c r="X135" s="66">
        <v>1.089</v>
      </c>
      <c r="AA135" s="66">
        <v>1.18</v>
      </c>
      <c r="AG135" s="66">
        <v>2.9</v>
      </c>
      <c r="AH135" s="66">
        <v>1.935</v>
      </c>
      <c r="AJ135" s="66">
        <v>1.971</v>
      </c>
      <c r="AM135" s="66">
        <v>1.688</v>
      </c>
      <c r="AP135" s="66">
        <v>1.888</v>
      </c>
      <c r="BE135" s="66">
        <v>0.993</v>
      </c>
      <c r="BF135" s="66">
        <v>0.543</v>
      </c>
      <c r="BG135" s="66">
        <v>1.9233</v>
      </c>
      <c r="BH135" s="66">
        <v>1.1541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1.251</v>
      </c>
      <c r="L136" s="66">
        <v>1.389</v>
      </c>
      <c r="O136" s="66">
        <v>1.398</v>
      </c>
      <c r="AG136" s="66">
        <v>1.78</v>
      </c>
      <c r="AH136" s="66">
        <v>1.018</v>
      </c>
      <c r="AJ136" s="66">
        <v>2.159</v>
      </c>
      <c r="AM136" s="66">
        <v>2.312</v>
      </c>
      <c r="AP136" s="66">
        <v>2.151</v>
      </c>
      <c r="BE136" s="66">
        <v>1.1286</v>
      </c>
      <c r="BF136" s="66">
        <v>0.6217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1.778</v>
      </c>
      <c r="L137" s="66">
        <v>1.968</v>
      </c>
      <c r="O137" s="66">
        <v>1.902</v>
      </c>
      <c r="R137" s="66">
        <v>1.553</v>
      </c>
      <c r="U137" s="66">
        <v>1.688</v>
      </c>
      <c r="X137" s="66">
        <v>1.579</v>
      </c>
      <c r="AA137" s="66">
        <v>1.498</v>
      </c>
      <c r="AG137" s="66">
        <v>0.76</v>
      </c>
      <c r="AH137" s="66">
        <v>0.431</v>
      </c>
      <c r="AJ137" s="66">
        <v>1.947</v>
      </c>
      <c r="AM137" s="66">
        <v>1.962</v>
      </c>
      <c r="BE137" s="66">
        <v>2.0064</v>
      </c>
      <c r="BF137" s="66">
        <v>1.0936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AG138" s="66">
        <v>1.46</v>
      </c>
      <c r="AH138" s="66">
        <v>0.87</v>
      </c>
      <c r="AJ138" s="66">
        <v>2.591</v>
      </c>
      <c r="AM138" s="66">
        <v>2.787</v>
      </c>
      <c r="AP138" s="66">
        <v>2.52</v>
      </c>
      <c r="BE138" s="66">
        <v>1.7582</v>
      </c>
      <c r="BF138" s="66">
        <v>0.9933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I139" s="66">
        <v>1.96</v>
      </c>
      <c r="L139" s="66">
        <v>1.719</v>
      </c>
      <c r="O139" s="66">
        <v>1.961</v>
      </c>
      <c r="R139" s="66">
        <v>1.481</v>
      </c>
      <c r="AG139" s="66">
        <v>1.4</v>
      </c>
      <c r="AH139" s="66">
        <v>0.804</v>
      </c>
      <c r="AJ139" s="66">
        <v>2.21</v>
      </c>
      <c r="AM139" s="66">
        <v>2.701</v>
      </c>
      <c r="AP139" s="66">
        <v>2.621</v>
      </c>
      <c r="BE139" s="66">
        <v>1.7924</v>
      </c>
      <c r="BF139" s="66">
        <v>0.9928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I140" s="66">
        <v>1.961</v>
      </c>
      <c r="L140" s="66">
        <v>2.008</v>
      </c>
      <c r="AG140" s="66">
        <v>1.5</v>
      </c>
      <c r="AH140" s="66">
        <v>0.941</v>
      </c>
      <c r="AJ140" s="66">
        <v>2.113</v>
      </c>
      <c r="AM140" s="66">
        <v>2.007</v>
      </c>
      <c r="AP140" s="66">
        <v>2.102</v>
      </c>
      <c r="BE140" s="81">
        <f>1.6255-0.0279</f>
        <v>1.5976</v>
      </c>
      <c r="BF140" s="66">
        <v>0.9314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I141" s="66">
        <v>1.398</v>
      </c>
      <c r="L141" s="66">
        <v>1.448</v>
      </c>
      <c r="O141" s="66">
        <v>2.86</v>
      </c>
      <c r="R141" s="66">
        <v>1.758</v>
      </c>
      <c r="U141" s="66">
        <v>1.888</v>
      </c>
      <c r="X141" s="66">
        <v>1.388</v>
      </c>
      <c r="AA141" s="66">
        <v>2.343</v>
      </c>
      <c r="AG141" s="66">
        <v>2.25</v>
      </c>
      <c r="AH141" s="66">
        <v>1.323</v>
      </c>
      <c r="AJ141" s="66">
        <v>2.05</v>
      </c>
      <c r="AM141" s="66">
        <v>2.153</v>
      </c>
      <c r="AP141" s="66">
        <v>1.384</v>
      </c>
      <c r="AS141" s="66">
        <v>2.225</v>
      </c>
      <c r="AV141" s="66">
        <v>2.191</v>
      </c>
      <c r="BE141" s="66">
        <v>1.1543</v>
      </c>
      <c r="BF141" s="66">
        <v>0.6351</v>
      </c>
      <c r="BG141" s="66">
        <v>0.699</v>
      </c>
      <c r="BH141" s="66">
        <v>0.4294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I142" s="66">
        <v>1.271</v>
      </c>
      <c r="L142" s="66">
        <v>1.288</v>
      </c>
      <c r="O142" s="66">
        <v>1.201</v>
      </c>
      <c r="R142" s="66">
        <v>1.281</v>
      </c>
      <c r="AG142" s="66">
        <v>1.54</v>
      </c>
      <c r="AH142" s="66">
        <v>0.897</v>
      </c>
      <c r="AJ142" s="66">
        <v>1.954</v>
      </c>
      <c r="AM142" s="66">
        <v>2.165</v>
      </c>
      <c r="AP142" s="66">
        <v>1.592</v>
      </c>
      <c r="AS142" s="66">
        <v>1.737</v>
      </c>
      <c r="AV142" s="66">
        <v>2.008</v>
      </c>
      <c r="BE142" s="66">
        <v>0.8313</v>
      </c>
      <c r="BF142" s="66">
        <v>0.4604</v>
      </c>
      <c r="BG142" s="66">
        <v>1.0546</v>
      </c>
      <c r="BH142" s="66">
        <v>0.6478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I143" s="66">
        <v>1.708</v>
      </c>
      <c r="L143" s="66">
        <v>1.658</v>
      </c>
      <c r="AG143" s="66">
        <v>1.66</v>
      </c>
      <c r="AH143" s="66">
        <v>0.97</v>
      </c>
      <c r="AJ143" s="66">
        <v>3.149</v>
      </c>
      <c r="AM143" s="66">
        <v>2.851</v>
      </c>
      <c r="AP143" s="66">
        <v>2.643</v>
      </c>
      <c r="AS143" s="66">
        <v>2.501</v>
      </c>
      <c r="BE143" s="66">
        <v>2.5127</v>
      </c>
      <c r="BF143" s="66">
        <v>1.389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AJ144" s="66">
        <v>2.549</v>
      </c>
      <c r="AM144" s="66">
        <v>2.352</v>
      </c>
      <c r="AP144" s="66">
        <v>2.469</v>
      </c>
      <c r="BE144" s="66">
        <v>0.7608</v>
      </c>
      <c r="BF144" s="66">
        <v>0.4112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AJ145" s="66">
        <v>2.224</v>
      </c>
      <c r="AM145" s="66">
        <v>2.348</v>
      </c>
      <c r="AP145" s="66">
        <v>1.765</v>
      </c>
      <c r="BE145" s="66">
        <v>0.8782</v>
      </c>
      <c r="BF145" s="66">
        <v>0.4598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AJ147" s="66">
        <v>2.514</v>
      </c>
      <c r="AM147" s="66">
        <v>2.551</v>
      </c>
      <c r="BE147" s="66">
        <v>0.7535</v>
      </c>
      <c r="BF147" s="66">
        <v>0.4036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AJ148" s="66">
        <v>2.564</v>
      </c>
      <c r="AM148" s="66">
        <v>2.506</v>
      </c>
      <c r="BE148" s="66">
        <v>1.8414</v>
      </c>
      <c r="BF148" s="66">
        <v>1.0036</v>
      </c>
      <c r="BJ148" s="66" t="s">
        <v>402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1.487</v>
      </c>
      <c r="L149" s="66">
        <v>1.682</v>
      </c>
      <c r="O149" s="66">
        <v>1.549</v>
      </c>
      <c r="R149" s="66">
        <v>1.614</v>
      </c>
      <c r="AG149" s="66">
        <v>1.82</v>
      </c>
      <c r="AH149" s="66">
        <v>1.071</v>
      </c>
      <c r="AJ149" s="66">
        <v>2.285</v>
      </c>
      <c r="AM149" s="66">
        <v>2.318</v>
      </c>
      <c r="BE149" s="66">
        <v>1.4424</v>
      </c>
      <c r="BF149" s="66">
        <v>0.8041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1.64</v>
      </c>
      <c r="L150" s="66">
        <v>1.329</v>
      </c>
      <c r="O150" s="66">
        <v>1.528</v>
      </c>
      <c r="R150" s="66">
        <v>1.488</v>
      </c>
      <c r="AG150" s="66">
        <v>3.12</v>
      </c>
      <c r="AH150" s="66">
        <v>1.776</v>
      </c>
      <c r="AJ150" s="66">
        <v>2.278</v>
      </c>
      <c r="AM150" s="66">
        <v>2.292</v>
      </c>
      <c r="BE150" s="66">
        <v>5.1695</v>
      </c>
      <c r="BF150" s="66">
        <v>2.8126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I151" s="66">
        <v>1.523</v>
      </c>
      <c r="L151" s="66">
        <v>1.674</v>
      </c>
      <c r="O151" s="66">
        <v>1.791</v>
      </c>
      <c r="AG151" s="66">
        <v>1.24</v>
      </c>
      <c r="AH151" s="66">
        <v>0.726</v>
      </c>
      <c r="AJ151" s="66">
        <v>2.985</v>
      </c>
      <c r="AM151" s="66">
        <v>2.849</v>
      </c>
      <c r="AP151" s="66">
        <v>2.685</v>
      </c>
      <c r="BE151" s="66">
        <v>1.4606</v>
      </c>
      <c r="BF151" s="66">
        <v>0.8239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C153" s="139"/>
      <c r="D153" s="140" t="s">
        <v>61</v>
      </c>
      <c r="E153" s="138">
        <v>2084.0</v>
      </c>
      <c r="AJ153" s="66">
        <v>2.038</v>
      </c>
      <c r="AM153" s="66">
        <v>1.985</v>
      </c>
      <c r="AP153" s="66">
        <v>2.082</v>
      </c>
      <c r="BE153" s="66">
        <v>2.1329</v>
      </c>
      <c r="BF153" s="66">
        <v>1.1452</v>
      </c>
      <c r="BJ153" s="66" t="s">
        <v>403</v>
      </c>
    </row>
    <row r="154">
      <c r="C154" s="132"/>
      <c r="D154" s="141" t="s">
        <v>56</v>
      </c>
      <c r="E154" s="133">
        <v>2076.0</v>
      </c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3">
        <v>1.99</v>
      </c>
      <c r="AH154" s="133">
        <v>1.261</v>
      </c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132"/>
      <c r="BC154" s="132"/>
      <c r="BD154" s="132"/>
      <c r="BE154" s="132"/>
      <c r="BF154" s="132"/>
      <c r="BG154" s="132"/>
      <c r="BH154" s="132"/>
      <c r="BI154" s="132"/>
      <c r="BJ154" s="133" t="s">
        <v>404</v>
      </c>
      <c r="BK154" s="132"/>
      <c r="BL154" s="132"/>
      <c r="BM154" s="13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44704.0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405</v>
      </c>
      <c r="AH6" s="35" t="s">
        <v>406</v>
      </c>
      <c r="AI6" s="35" t="s">
        <v>407</v>
      </c>
      <c r="AJ6" s="35" t="s">
        <v>408</v>
      </c>
      <c r="AK6" s="35" t="s">
        <v>278</v>
      </c>
      <c r="AL6" s="35" t="s">
        <v>279</v>
      </c>
      <c r="AM6" s="35" t="s">
        <v>280</v>
      </c>
      <c r="AN6" s="35" t="s">
        <v>281</v>
      </c>
      <c r="AO6" s="35" t="s">
        <v>282</v>
      </c>
      <c r="AP6" s="35" t="s">
        <v>283</v>
      </c>
      <c r="AQ6" s="35" t="s">
        <v>284</v>
      </c>
      <c r="AR6" s="35" t="s">
        <v>285</v>
      </c>
      <c r="AS6" s="35" t="s">
        <v>286</v>
      </c>
      <c r="AT6" s="35" t="s">
        <v>287</v>
      </c>
      <c r="AU6" s="35" t="s">
        <v>288</v>
      </c>
      <c r="AV6" s="35" t="s">
        <v>289</v>
      </c>
      <c r="AW6" s="35" t="s">
        <v>290</v>
      </c>
      <c r="AX6" s="35" t="s">
        <v>291</v>
      </c>
      <c r="AY6" s="35" t="s">
        <v>292</v>
      </c>
      <c r="AZ6" s="35" t="s">
        <v>293</v>
      </c>
      <c r="BA6" s="35" t="s">
        <v>294</v>
      </c>
      <c r="BB6" s="35" t="s">
        <v>295</v>
      </c>
      <c r="BC6" s="35" t="s">
        <v>296</v>
      </c>
      <c r="BD6" s="35" t="s">
        <v>297</v>
      </c>
      <c r="BE6" s="35" t="s">
        <v>298</v>
      </c>
      <c r="BF6" s="35" t="s">
        <v>299</v>
      </c>
      <c r="BG6" s="35" t="s">
        <v>409</v>
      </c>
      <c r="BH6" s="35" t="s">
        <v>410</v>
      </c>
      <c r="BI6" s="35" t="s">
        <v>411</v>
      </c>
      <c r="BJ6" s="35" t="s">
        <v>412</v>
      </c>
      <c r="BK6" s="35" t="s">
        <v>302</v>
      </c>
      <c r="BL6" s="36" t="s">
        <v>45</v>
      </c>
      <c r="BM6" s="14"/>
      <c r="BN6" s="14"/>
      <c r="BO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1.432</v>
      </c>
      <c r="L7" s="66">
        <v>1.371</v>
      </c>
      <c r="O7" s="66">
        <v>1.341</v>
      </c>
      <c r="R7" s="66">
        <v>1.504</v>
      </c>
      <c r="AG7" s="66">
        <v>0.97</v>
      </c>
      <c r="AH7" s="66">
        <v>0.629</v>
      </c>
      <c r="AL7" s="66">
        <v>3.501</v>
      </c>
      <c r="AO7" s="66">
        <v>3.7</v>
      </c>
      <c r="AR7" s="66">
        <v>4.517</v>
      </c>
      <c r="AU7" s="66">
        <v>4.323</v>
      </c>
      <c r="AX7" s="66">
        <v>4.776</v>
      </c>
      <c r="BG7" s="66">
        <v>1.4457</v>
      </c>
      <c r="BH7" s="66">
        <v>0.992</v>
      </c>
      <c r="BK7" s="81">
        <f t="shared" ref="BK7:BK152" si="1">AVERAGE(BD7,BA7,AX7,AU7,AR7,AO7,AL7)</f>
        <v>4.1634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  <c r="BK8" s="81" t="str">
        <f t="shared" si="1"/>
        <v>#DIV/0!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1.212</v>
      </c>
      <c r="L9" s="66">
        <v>1.356</v>
      </c>
      <c r="O9" s="66">
        <v>1.361</v>
      </c>
      <c r="R9" s="66">
        <v>1.421</v>
      </c>
      <c r="AG9" s="66">
        <v>1.31</v>
      </c>
      <c r="AH9" s="66">
        <v>0.819</v>
      </c>
      <c r="AL9" s="66">
        <v>4.031</v>
      </c>
      <c r="AO9" s="66">
        <v>3.467</v>
      </c>
      <c r="AR9" s="66">
        <v>3.531</v>
      </c>
      <c r="BK9" s="81">
        <f t="shared" si="1"/>
        <v>3.676333333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BK10" s="81" t="str">
        <f t="shared" si="1"/>
        <v>#DIV/0!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  <c r="BK11" s="81" t="str">
        <f t="shared" si="1"/>
        <v>#DIV/0!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BK12" s="81" t="str">
        <f t="shared" si="1"/>
        <v>#DIV/0!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BK13" s="81" t="str">
        <f t="shared" si="1"/>
        <v>#DIV/0!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  <c r="BK14" s="81" t="str">
        <f t="shared" si="1"/>
        <v>#DIV/0!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BK15" s="81" t="str">
        <f t="shared" si="1"/>
        <v>#DIV/0!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BK16" s="81" t="str">
        <f t="shared" si="1"/>
        <v>#DIV/0!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  <c r="BK17" s="81" t="str">
        <f t="shared" si="1"/>
        <v>#DIV/0!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2.157</v>
      </c>
      <c r="L18" s="66">
        <v>1.958</v>
      </c>
      <c r="O18" s="66">
        <v>2.271</v>
      </c>
      <c r="R18" s="66">
        <v>2.151</v>
      </c>
      <c r="AG18" s="66">
        <v>2.23</v>
      </c>
      <c r="AH18" s="66">
        <v>1.213</v>
      </c>
      <c r="AL18" s="66">
        <v>3.234</v>
      </c>
      <c r="AO18" s="66">
        <v>3.189</v>
      </c>
      <c r="AR18" s="66">
        <v>3.4</v>
      </c>
      <c r="AU18" s="66">
        <v>3.286</v>
      </c>
      <c r="BG18" s="66">
        <v>1.0896</v>
      </c>
      <c r="BH18" s="66">
        <v>0.638</v>
      </c>
      <c r="BK18" s="81">
        <f t="shared" si="1"/>
        <v>3.27725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BK19" s="81" t="str">
        <f t="shared" si="1"/>
        <v>#DIV/0!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  <c r="BK20" s="81" t="str">
        <f t="shared" si="1"/>
        <v>#DIV/0!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BK21" s="81" t="str">
        <f t="shared" si="1"/>
        <v>#DIV/0!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BK22" s="81" t="str">
        <f t="shared" si="1"/>
        <v>#DIV/0!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BK23" s="81" t="str">
        <f t="shared" si="1"/>
        <v>#DIV/0!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1.773</v>
      </c>
      <c r="L24" s="66">
        <v>1.82</v>
      </c>
      <c r="O24" s="66">
        <v>2.04</v>
      </c>
      <c r="AG24" s="66">
        <v>0.58</v>
      </c>
      <c r="AH24" s="66">
        <v>0.314</v>
      </c>
      <c r="AL24" s="66">
        <v>3.043</v>
      </c>
      <c r="AO24" s="66">
        <v>2.912</v>
      </c>
      <c r="AR24" s="66">
        <v>2.963</v>
      </c>
      <c r="BG24" s="66">
        <v>0.9718</v>
      </c>
      <c r="BH24" s="66">
        <v>0.549</v>
      </c>
      <c r="BK24" s="81">
        <f t="shared" si="1"/>
        <v>2.972666667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BK25" s="81" t="str">
        <f t="shared" si="1"/>
        <v>#DIV/0!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  <c r="BK26" s="81" t="str">
        <f t="shared" si="1"/>
        <v>#DIV/0!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2.023</v>
      </c>
      <c r="L27" s="66">
        <v>2.001</v>
      </c>
      <c r="AG27" s="66">
        <v>0.82</v>
      </c>
      <c r="AH27" s="66">
        <v>0.452</v>
      </c>
      <c r="AL27" s="66">
        <v>3.01</v>
      </c>
      <c r="AO27" s="66">
        <v>2.99</v>
      </c>
      <c r="AR27" s="66">
        <v>2.881</v>
      </c>
      <c r="BG27" s="66">
        <v>1.2738</v>
      </c>
      <c r="BH27" s="66">
        <v>0.737</v>
      </c>
      <c r="BK27" s="81">
        <f t="shared" si="1"/>
        <v>2.960333333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  <c r="BK28" s="81" t="str">
        <f t="shared" si="1"/>
        <v>#DIV/0!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  <c r="BK29" s="81" t="str">
        <f t="shared" si="1"/>
        <v>#DIV/0!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1.812</v>
      </c>
      <c r="L30" s="66">
        <v>1.982</v>
      </c>
      <c r="O30" s="66">
        <v>1.9</v>
      </c>
      <c r="AG30" s="66">
        <v>1.54</v>
      </c>
      <c r="AH30" s="66">
        <v>0.839</v>
      </c>
      <c r="AL30" s="66">
        <v>3.67</v>
      </c>
      <c r="AO30" s="66">
        <v>3.79</v>
      </c>
      <c r="AR30" s="66">
        <v>3.7</v>
      </c>
      <c r="BG30" s="66">
        <v>2.36</v>
      </c>
      <c r="BH30" s="66">
        <v>1.314</v>
      </c>
      <c r="BK30" s="81">
        <f t="shared" si="1"/>
        <v>3.72</v>
      </c>
      <c r="BL30" s="66" t="s">
        <v>413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0.839</v>
      </c>
      <c r="L31" s="66">
        <v>1.11</v>
      </c>
      <c r="O31" s="66">
        <v>1.556</v>
      </c>
      <c r="R31" s="66">
        <v>1.331</v>
      </c>
      <c r="U31" s="66">
        <v>1.186</v>
      </c>
      <c r="AG31" s="66">
        <v>1.46</v>
      </c>
      <c r="AH31" s="66">
        <v>0.88</v>
      </c>
      <c r="AL31" s="66">
        <v>2.615</v>
      </c>
      <c r="AO31" s="66">
        <v>2.386</v>
      </c>
      <c r="AR31" s="66">
        <v>2.056</v>
      </c>
      <c r="AU31" s="66">
        <v>2.343</v>
      </c>
      <c r="BG31" s="66">
        <v>2.4472</v>
      </c>
      <c r="BH31" s="66">
        <v>1.543</v>
      </c>
      <c r="BK31" s="81">
        <f t="shared" si="1"/>
        <v>2.35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0.899</v>
      </c>
      <c r="L32" s="66">
        <v>1.019</v>
      </c>
      <c r="O32" s="66">
        <v>0.82</v>
      </c>
      <c r="R32" s="66">
        <v>0.978</v>
      </c>
      <c r="U32" s="66">
        <v>1.06</v>
      </c>
      <c r="X32" s="66">
        <v>0.658</v>
      </c>
      <c r="AG32" s="66">
        <v>1.04</v>
      </c>
      <c r="AH32" s="66">
        <v>0.672</v>
      </c>
      <c r="AL32" s="66">
        <v>1.464</v>
      </c>
      <c r="AO32" s="66">
        <v>1.728</v>
      </c>
      <c r="AR32" s="66">
        <v>1.531</v>
      </c>
      <c r="AU32" s="66">
        <v>1.74</v>
      </c>
      <c r="BG32" s="66">
        <v>1.1828</v>
      </c>
      <c r="BH32" s="66">
        <v>0.754</v>
      </c>
      <c r="BK32" s="81">
        <f t="shared" si="1"/>
        <v>1.61575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1.688</v>
      </c>
      <c r="L33" s="66">
        <v>1.731</v>
      </c>
      <c r="O33" s="66">
        <v>1.688</v>
      </c>
      <c r="AG33" s="66">
        <v>1.09</v>
      </c>
      <c r="AH33" s="66">
        <v>0.587</v>
      </c>
      <c r="AL33" s="66">
        <v>3.361</v>
      </c>
      <c r="AO33" s="66">
        <v>3.187</v>
      </c>
      <c r="AR33" s="66">
        <v>2.778</v>
      </c>
      <c r="AU33" s="66">
        <v>3.373</v>
      </c>
      <c r="AX33" s="66">
        <v>3.261</v>
      </c>
      <c r="BG33" s="66">
        <v>1.947</v>
      </c>
      <c r="BH33" s="66">
        <v>1.106</v>
      </c>
      <c r="BK33" s="81">
        <f t="shared" si="1"/>
        <v>3.192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2.371</v>
      </c>
      <c r="L34" s="66">
        <v>2.201</v>
      </c>
      <c r="AG34" s="66">
        <v>1.86</v>
      </c>
      <c r="AH34" s="66">
        <v>0.989</v>
      </c>
      <c r="AL34" s="66">
        <v>3.341</v>
      </c>
      <c r="AO34" s="66">
        <v>3.31</v>
      </c>
      <c r="BG34" s="66">
        <v>1.4484</v>
      </c>
      <c r="BH34" s="66">
        <v>0.853</v>
      </c>
      <c r="BK34" s="81">
        <f t="shared" si="1"/>
        <v>3.3255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0.893</v>
      </c>
      <c r="L35" s="66">
        <v>0.789</v>
      </c>
      <c r="O35" s="66">
        <v>0.918</v>
      </c>
      <c r="R35" s="66">
        <v>0.643</v>
      </c>
      <c r="U35" s="66">
        <v>0.928</v>
      </c>
      <c r="X35" s="66">
        <v>0.931</v>
      </c>
      <c r="AG35" s="66">
        <v>0.12</v>
      </c>
      <c r="AH35" s="66">
        <v>0.074</v>
      </c>
      <c r="AI35" s="66">
        <v>1.03</v>
      </c>
      <c r="AJ35" s="66">
        <v>0.629</v>
      </c>
      <c r="AL35" s="66">
        <v>3.65</v>
      </c>
      <c r="AO35" s="66">
        <v>3.83</v>
      </c>
      <c r="AR35" s="66">
        <v>3.86</v>
      </c>
      <c r="BG35" s="66">
        <v>1.89</v>
      </c>
      <c r="BH35" s="66">
        <v>1.206</v>
      </c>
      <c r="BK35" s="81">
        <f t="shared" si="1"/>
        <v>3.78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BK36" s="81" t="str">
        <f t="shared" si="1"/>
        <v>#DIV/0!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BK37" s="81" t="str">
        <f t="shared" si="1"/>
        <v>#DIV/0!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BK38" s="81" t="str">
        <f t="shared" si="1"/>
        <v>#DIV/0!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BK39" s="81" t="str">
        <f t="shared" si="1"/>
        <v>#DIV/0!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BK40" s="81" t="str">
        <f t="shared" si="1"/>
        <v>#DIV/0!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BK41" s="81" t="str">
        <f t="shared" si="1"/>
        <v>#DIV/0!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  <c r="AG42" s="66">
        <v>1.66</v>
      </c>
      <c r="AH42" s="66">
        <v>0.739</v>
      </c>
      <c r="AL42" s="66">
        <v>3.778</v>
      </c>
      <c r="AO42" s="66">
        <v>3.692</v>
      </c>
      <c r="AR42" s="66">
        <v>3.938</v>
      </c>
      <c r="AU42" s="66">
        <v>3.692</v>
      </c>
      <c r="AX42" s="66">
        <v>3.662</v>
      </c>
      <c r="BA42" s="66">
        <v>3.535</v>
      </c>
      <c r="BG42" s="66">
        <v>1.3788</v>
      </c>
      <c r="BH42" s="66">
        <v>0.819</v>
      </c>
      <c r="BK42" s="81">
        <f t="shared" si="1"/>
        <v>3.716166667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  <c r="BK43" s="81" t="str">
        <f t="shared" si="1"/>
        <v>#DIV/0!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  <c r="BK44" s="81" t="str">
        <f t="shared" si="1"/>
        <v>#DIV/0!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  <c r="BK45" s="81" t="str">
        <f t="shared" si="1"/>
        <v>#DIV/0!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0.678</v>
      </c>
      <c r="L46" s="66">
        <v>0.788</v>
      </c>
      <c r="O46" s="66">
        <v>0.682</v>
      </c>
      <c r="AG46" s="66">
        <v>1.47</v>
      </c>
      <c r="AH46" s="66">
        <v>0.876</v>
      </c>
      <c r="AL46" s="66">
        <v>2.471</v>
      </c>
      <c r="AO46" s="66">
        <v>2.077</v>
      </c>
      <c r="AR46" s="66">
        <v>2.088</v>
      </c>
      <c r="AU46" s="66">
        <v>2.043</v>
      </c>
      <c r="BG46" s="66">
        <v>3.6276</v>
      </c>
      <c r="BH46" s="66">
        <v>2.29</v>
      </c>
      <c r="BK46" s="81">
        <f t="shared" si="1"/>
        <v>2.16975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2.078</v>
      </c>
      <c r="L47" s="66">
        <v>2.043</v>
      </c>
      <c r="AG47" s="66">
        <v>1.25</v>
      </c>
      <c r="AH47" s="66">
        <v>0.687</v>
      </c>
      <c r="AL47" s="66">
        <v>3.268</v>
      </c>
      <c r="AO47" s="66">
        <v>3.365</v>
      </c>
      <c r="BG47" s="66">
        <v>0.613</v>
      </c>
      <c r="BH47" s="66">
        <v>0.366</v>
      </c>
      <c r="BK47" s="81">
        <f t="shared" si="1"/>
        <v>3.3165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1.762</v>
      </c>
      <c r="L48" s="66">
        <v>2.168</v>
      </c>
      <c r="O48" s="66">
        <v>1.872</v>
      </c>
      <c r="AG48" s="66">
        <v>0.88</v>
      </c>
      <c r="AH48" s="66">
        <v>0.459</v>
      </c>
      <c r="AL48" s="66">
        <v>3.13</v>
      </c>
      <c r="AO48" s="66">
        <v>2.7</v>
      </c>
      <c r="AR48" s="66">
        <v>2.75</v>
      </c>
      <c r="BG48" s="66">
        <v>1.26</v>
      </c>
      <c r="BH48" s="66">
        <v>0.693</v>
      </c>
      <c r="BK48" s="81">
        <f t="shared" si="1"/>
        <v>2.86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BK49" s="81" t="str">
        <f t="shared" si="1"/>
        <v>#DIV/0!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BK50" s="81" t="str">
        <f t="shared" si="1"/>
        <v>#DIV/0!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BK51" s="81" t="str">
        <f t="shared" si="1"/>
        <v>#DIV/0!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BK52" s="81" t="str">
        <f t="shared" si="1"/>
        <v>#DIV/0!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1.645</v>
      </c>
      <c r="L53" s="66">
        <v>1.73</v>
      </c>
      <c r="O53" s="66">
        <v>1.723</v>
      </c>
      <c r="AG53" s="66">
        <v>0.7</v>
      </c>
      <c r="AH53" s="66">
        <v>0.378</v>
      </c>
      <c r="AL53" s="66">
        <v>3.406</v>
      </c>
      <c r="AO53" s="66">
        <v>3.478</v>
      </c>
      <c r="BG53" s="66">
        <v>1.2501</v>
      </c>
      <c r="BH53" s="66">
        <v>0.709</v>
      </c>
      <c r="BK53" s="81">
        <f t="shared" si="1"/>
        <v>3.442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BK54" s="81" t="str">
        <f t="shared" si="1"/>
        <v>#DIV/0!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BK55" s="81" t="str">
        <f t="shared" si="1"/>
        <v>#DIV/0!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BK56" s="81" t="str">
        <f t="shared" si="1"/>
        <v>#DIV/0!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BK57" s="81" t="str">
        <f t="shared" si="1"/>
        <v>#DIV/0!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BK58" s="81" t="str">
        <f t="shared" si="1"/>
        <v>#DIV/0!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  <c r="BK59" s="81" t="str">
        <f t="shared" si="1"/>
        <v>#DIV/0!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  <c r="BK60" s="81" t="str">
        <f t="shared" si="1"/>
        <v>#DIV/0!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BK61" s="81" t="str">
        <f t="shared" si="1"/>
        <v>#DIV/0!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BK62" s="81" t="str">
        <f t="shared" si="1"/>
        <v>#DIV/0!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BK63" s="81" t="str">
        <f t="shared" si="1"/>
        <v>#DIV/0!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  <c r="BK64" s="81" t="str">
        <f t="shared" si="1"/>
        <v>#DIV/0!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BK65" s="81" t="str">
        <f t="shared" si="1"/>
        <v>#DIV/0!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  <c r="BK66" s="81" t="str">
        <f t="shared" si="1"/>
        <v>#DIV/0!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  <c r="BK67" s="81" t="str">
        <f t="shared" si="1"/>
        <v>#DIV/0!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BK68" s="81" t="str">
        <f t="shared" si="1"/>
        <v>#DIV/0!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BK69" s="81" t="str">
        <f t="shared" si="1"/>
        <v>#DIV/0!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BK70" s="81" t="str">
        <f t="shared" si="1"/>
        <v>#DIV/0!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BK71" s="81" t="str">
        <f t="shared" si="1"/>
        <v>#DIV/0!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  <c r="BK72" s="81" t="str">
        <f t="shared" si="1"/>
        <v>#DIV/0!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BK73" s="81" t="str">
        <f t="shared" si="1"/>
        <v>#DIV/0!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BK74" s="81" t="str">
        <f t="shared" si="1"/>
        <v>#DIV/0!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2.24</v>
      </c>
      <c r="L75" s="66">
        <v>1.65</v>
      </c>
      <c r="O75" s="66">
        <v>1.45</v>
      </c>
      <c r="R75" s="66">
        <v>1.75</v>
      </c>
      <c r="U75" s="66">
        <v>2.4</v>
      </c>
      <c r="AG75" s="66">
        <v>2.0</v>
      </c>
      <c r="AH75" s="66">
        <v>1.242</v>
      </c>
      <c r="BG75" s="66">
        <v>0.81</v>
      </c>
      <c r="BH75" s="66">
        <v>0.486</v>
      </c>
      <c r="BI75" s="66">
        <v>1.53</v>
      </c>
      <c r="BJ75" s="66">
        <v>0.993</v>
      </c>
      <c r="BK75" s="81" t="str">
        <f t="shared" si="1"/>
        <v>#DIV/0!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BK76" s="81" t="str">
        <f t="shared" si="1"/>
        <v>#DIV/0!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BK77" s="81" t="str">
        <f t="shared" si="1"/>
        <v>#DIV/0!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BK78" s="81" t="str">
        <f t="shared" si="1"/>
        <v>#DIV/0!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BK79" s="81" t="str">
        <f t="shared" si="1"/>
        <v>#DIV/0!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BK80" s="81" t="str">
        <f t="shared" si="1"/>
        <v>#DIV/0!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  <c r="BK81" s="81" t="str">
        <f t="shared" si="1"/>
        <v>#DIV/0!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1.94</v>
      </c>
      <c r="L82" s="66">
        <v>1.39</v>
      </c>
      <c r="O82" s="66">
        <v>1.45</v>
      </c>
      <c r="R82" s="66">
        <v>1.51</v>
      </c>
      <c r="AG82" s="66">
        <v>1.91</v>
      </c>
      <c r="AH82" s="66">
        <v>1.168</v>
      </c>
      <c r="BG82" s="66">
        <v>3.1</v>
      </c>
      <c r="BH82" s="66">
        <v>1.92</v>
      </c>
      <c r="BK82" s="81" t="str">
        <f t="shared" si="1"/>
        <v>#DIV/0!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BK83" s="81" t="str">
        <f t="shared" si="1"/>
        <v>#DIV/0!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BK84" s="81" t="str">
        <f t="shared" si="1"/>
        <v>#DIV/0!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BK85" s="81" t="str">
        <f t="shared" si="1"/>
        <v>#DIV/0!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BK86" s="81" t="str">
        <f t="shared" si="1"/>
        <v>#DIV/0!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BK87" s="81" t="str">
        <f t="shared" si="1"/>
        <v>#DIV/0!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BK88" s="81" t="str">
        <f t="shared" si="1"/>
        <v>#DIV/0!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BK89" s="81" t="str">
        <f t="shared" si="1"/>
        <v>#DIV/0!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BK90" s="81" t="str">
        <f t="shared" si="1"/>
        <v>#DIV/0!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2.063</v>
      </c>
      <c r="L91" s="66">
        <v>1.882</v>
      </c>
      <c r="O91" s="66">
        <v>1.843</v>
      </c>
      <c r="AG91" s="66">
        <v>0.35</v>
      </c>
      <c r="AH91" s="66">
        <v>0.207</v>
      </c>
      <c r="BG91" s="66">
        <v>1.19</v>
      </c>
      <c r="BH91" s="66">
        <v>0.63</v>
      </c>
      <c r="BK91" s="81" t="str">
        <f t="shared" si="1"/>
        <v>#DIV/0!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1.532</v>
      </c>
      <c r="L92" s="66">
        <v>1.501</v>
      </c>
      <c r="AG92" s="66">
        <v>1.27</v>
      </c>
      <c r="AH92" s="66">
        <v>0.681</v>
      </c>
      <c r="BG92" s="66">
        <v>0.75</v>
      </c>
      <c r="BH92" s="66">
        <v>0.401</v>
      </c>
      <c r="BK92" s="81" t="str">
        <f t="shared" si="1"/>
        <v>#DIV/0!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1.782</v>
      </c>
      <c r="L93" s="66">
        <v>1.741</v>
      </c>
      <c r="O93" s="66">
        <v>1.842</v>
      </c>
      <c r="AG93" s="66">
        <v>0.68</v>
      </c>
      <c r="AH93" s="66">
        <v>0.361</v>
      </c>
      <c r="BG93" s="66">
        <v>1.02</v>
      </c>
      <c r="BH93" s="66">
        <v>0.598</v>
      </c>
      <c r="BK93" s="81" t="str">
        <f t="shared" si="1"/>
        <v>#DIV/0!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  <c r="BK94" s="81" t="str">
        <f t="shared" si="1"/>
        <v>#DIV/0!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  <c r="BK95" s="81" t="str">
        <f t="shared" si="1"/>
        <v>#DIV/0!</v>
      </c>
    </row>
    <row r="96">
      <c r="A96" s="111"/>
      <c r="B96" s="106" t="s">
        <v>58</v>
      </c>
      <c r="C96" s="111" t="s">
        <v>87</v>
      </c>
      <c r="D96" s="112" t="s">
        <v>61</v>
      </c>
      <c r="E96" s="112"/>
      <c r="BK96" s="81" t="str">
        <f t="shared" si="1"/>
        <v>#DIV/0!</v>
      </c>
    </row>
    <row r="97">
      <c r="A97" s="111"/>
      <c r="B97" s="106" t="s">
        <v>58</v>
      </c>
      <c r="C97" s="111" t="s">
        <v>87</v>
      </c>
      <c r="D97" s="112" t="s">
        <v>61</v>
      </c>
      <c r="E97" s="112"/>
      <c r="BK97" s="81" t="str">
        <f t="shared" si="1"/>
        <v>#DIV/0!</v>
      </c>
    </row>
    <row r="98">
      <c r="A98" s="111"/>
      <c r="B98" s="106" t="s">
        <v>58</v>
      </c>
      <c r="C98" s="111" t="s">
        <v>87</v>
      </c>
      <c r="D98" s="112" t="s">
        <v>61</v>
      </c>
      <c r="E98" s="112"/>
      <c r="BK98" s="81" t="str">
        <f t="shared" si="1"/>
        <v>#DIV/0!</v>
      </c>
    </row>
    <row r="99">
      <c r="A99" s="111"/>
      <c r="B99" s="106" t="s">
        <v>58</v>
      </c>
      <c r="C99" s="111" t="s">
        <v>87</v>
      </c>
      <c r="D99" s="112" t="s">
        <v>61</v>
      </c>
      <c r="E99" s="112"/>
      <c r="BK99" s="81" t="str">
        <f t="shared" si="1"/>
        <v>#DIV/0!</v>
      </c>
    </row>
    <row r="100">
      <c r="A100" s="111"/>
      <c r="B100" s="106" t="s">
        <v>58</v>
      </c>
      <c r="C100" s="111" t="s">
        <v>88</v>
      </c>
      <c r="D100" s="112" t="s">
        <v>61</v>
      </c>
      <c r="E100" s="112"/>
      <c r="BK100" s="81" t="str">
        <f t="shared" si="1"/>
        <v>#DIV/0!</v>
      </c>
    </row>
    <row r="101">
      <c r="A101" s="111"/>
      <c r="B101" s="106" t="s">
        <v>58</v>
      </c>
      <c r="C101" s="111" t="s">
        <v>88</v>
      </c>
      <c r="D101" s="112" t="s">
        <v>61</v>
      </c>
      <c r="E101" s="112"/>
      <c r="BK101" s="81" t="str">
        <f t="shared" si="1"/>
        <v>#DIV/0!</v>
      </c>
    </row>
    <row r="102">
      <c r="A102" s="111"/>
      <c r="B102" s="106" t="s">
        <v>58</v>
      </c>
      <c r="C102" s="111" t="s">
        <v>88</v>
      </c>
      <c r="D102" s="112" t="s">
        <v>61</v>
      </c>
      <c r="E102" s="112"/>
      <c r="BK102" s="81" t="str">
        <f t="shared" si="1"/>
        <v>#DIV/0!</v>
      </c>
    </row>
    <row r="103">
      <c r="A103" s="111"/>
      <c r="B103" s="106" t="s">
        <v>58</v>
      </c>
      <c r="C103" s="111" t="s">
        <v>88</v>
      </c>
      <c r="D103" s="112" t="s">
        <v>61</v>
      </c>
      <c r="E103" s="112"/>
      <c r="BK103" s="81" t="str">
        <f t="shared" si="1"/>
        <v>#DIV/0!</v>
      </c>
    </row>
    <row r="104">
      <c r="A104" s="111"/>
      <c r="B104" s="106" t="s">
        <v>58</v>
      </c>
      <c r="C104" s="111" t="s">
        <v>88</v>
      </c>
      <c r="D104" s="112" t="s">
        <v>61</v>
      </c>
      <c r="E104" s="112"/>
      <c r="BK104" s="81" t="str">
        <f t="shared" si="1"/>
        <v>#DIV/0!</v>
      </c>
    </row>
    <row r="105">
      <c r="A105" s="103"/>
      <c r="B105" s="106" t="s">
        <v>58</v>
      </c>
      <c r="C105" s="103" t="s">
        <v>89</v>
      </c>
      <c r="D105" s="103" t="s">
        <v>56</v>
      </c>
      <c r="E105" s="103"/>
      <c r="BK105" s="81" t="str">
        <f t="shared" si="1"/>
        <v>#DIV/0!</v>
      </c>
    </row>
    <row r="106">
      <c r="A106" s="103"/>
      <c r="B106" s="106" t="s">
        <v>58</v>
      </c>
      <c r="C106" s="103" t="s">
        <v>89</v>
      </c>
      <c r="D106" s="103" t="s">
        <v>56</v>
      </c>
      <c r="E106" s="103"/>
      <c r="BK106" s="81" t="str">
        <f t="shared" si="1"/>
        <v>#DIV/0!</v>
      </c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1.293</v>
      </c>
      <c r="L107" s="66">
        <v>1.288</v>
      </c>
      <c r="AG107" s="66">
        <v>2.88</v>
      </c>
      <c r="AH107" s="66">
        <v>1.54</v>
      </c>
      <c r="AL107" s="66">
        <v>2.824</v>
      </c>
      <c r="AO107" s="66">
        <v>2.469</v>
      </c>
      <c r="AR107" s="66">
        <v>2.774</v>
      </c>
      <c r="AU107" s="66">
        <v>2.479</v>
      </c>
      <c r="BG107" s="66">
        <v>2.256</v>
      </c>
      <c r="BH107" s="66">
        <v>1.291</v>
      </c>
      <c r="BK107" s="81">
        <f t="shared" si="1"/>
        <v>2.6365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  <c r="BK108" s="81" t="str">
        <f t="shared" si="1"/>
        <v>#DIV/0!</v>
      </c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  <c r="BK109" s="81" t="str">
        <f t="shared" si="1"/>
        <v>#DIV/0!</v>
      </c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1.416</v>
      </c>
      <c r="L110" s="66">
        <v>1.348</v>
      </c>
      <c r="O110" s="66">
        <v>1.334</v>
      </c>
      <c r="AG110" s="66">
        <v>1.37</v>
      </c>
      <c r="AH110" s="66">
        <v>0.779</v>
      </c>
      <c r="AL110" s="66">
        <v>3.949</v>
      </c>
      <c r="AO110" s="66">
        <v>3.938</v>
      </c>
      <c r="AR110" s="66">
        <v>3.778</v>
      </c>
      <c r="BG110" s="66">
        <v>2.2723</v>
      </c>
      <c r="BH110" s="66">
        <v>1.394</v>
      </c>
      <c r="BK110" s="81">
        <f t="shared" si="1"/>
        <v>3.888333333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1.683</v>
      </c>
      <c r="L111" s="66">
        <v>1.338</v>
      </c>
      <c r="O111" s="66">
        <v>1.56</v>
      </c>
      <c r="R111" s="66">
        <v>1.548</v>
      </c>
      <c r="AG111" s="66">
        <v>0.48</v>
      </c>
      <c r="AH111" s="66">
        <v>0.291</v>
      </c>
      <c r="BG111" s="66">
        <v>1.45</v>
      </c>
      <c r="BH111" s="66">
        <v>0.81</v>
      </c>
      <c r="BK111" s="81" t="str">
        <f t="shared" si="1"/>
        <v>#DIV/0!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1.288</v>
      </c>
      <c r="L112" s="66">
        <v>1.219</v>
      </c>
      <c r="AG112" s="66">
        <v>1.29</v>
      </c>
      <c r="AH112" s="66">
        <v>0.731</v>
      </c>
      <c r="BG112" s="66">
        <v>1.6</v>
      </c>
      <c r="BH112" s="66">
        <v>0.91</v>
      </c>
      <c r="BK112" s="81" t="str">
        <f t="shared" si="1"/>
        <v>#DIV/0!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BK113" s="81" t="str">
        <f t="shared" si="1"/>
        <v>#DIV/0!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BK114" s="81" t="str">
        <f t="shared" si="1"/>
        <v>#DIV/0!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BK115" s="81" t="str">
        <f t="shared" si="1"/>
        <v>#DIV/0!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BK116" s="81" t="str">
        <f t="shared" si="1"/>
        <v>#DIV/0!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  <c r="I117" s="66">
        <v>3.138</v>
      </c>
      <c r="L117" s="66">
        <v>3.37</v>
      </c>
      <c r="O117" s="66">
        <v>3.421</v>
      </c>
      <c r="R117" s="66">
        <v>4.188</v>
      </c>
      <c r="U117" s="66">
        <v>3.412</v>
      </c>
      <c r="X117" s="66">
        <v>3.168</v>
      </c>
      <c r="AA117" s="66">
        <v>2.993</v>
      </c>
      <c r="AG117" s="66">
        <v>0.49</v>
      </c>
      <c r="AH117" s="66">
        <v>0.273</v>
      </c>
      <c r="BK117" s="81" t="str">
        <f t="shared" si="1"/>
        <v>#DIV/0!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BK118" s="81" t="str">
        <f t="shared" si="1"/>
        <v>#DIV/0!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BK119" s="81" t="str">
        <f t="shared" si="1"/>
        <v>#DIV/0!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I120" s="66">
        <v>2.881</v>
      </c>
      <c r="L120" s="66">
        <v>3.403</v>
      </c>
      <c r="O120" s="66">
        <v>3.271</v>
      </c>
      <c r="R120" s="66">
        <v>3.341</v>
      </c>
      <c r="U120" s="66">
        <v>3.04</v>
      </c>
      <c r="X120" s="66">
        <v>3.314</v>
      </c>
      <c r="AG120" s="66">
        <v>2.48</v>
      </c>
      <c r="AH120" s="66">
        <v>1.325</v>
      </c>
      <c r="BK120" s="81" t="str">
        <f t="shared" si="1"/>
        <v>#DIV/0!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BK121" s="81" t="str">
        <f t="shared" si="1"/>
        <v>#DIV/0!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BK122" s="81" t="str">
        <f t="shared" si="1"/>
        <v>#DIV/0!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BK123" s="81" t="str">
        <f t="shared" si="1"/>
        <v>#DIV/0!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BK124" s="81" t="str">
        <f t="shared" si="1"/>
        <v>#DIV/0!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BK125" s="81" t="str">
        <f t="shared" si="1"/>
        <v>#DIV/0!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BK126" s="81" t="str">
        <f t="shared" si="1"/>
        <v>#DIV/0!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BK127" s="81" t="str">
        <f t="shared" si="1"/>
        <v>#DIV/0!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BK128" s="81" t="str">
        <f t="shared" si="1"/>
        <v>#DIV/0!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BK129" s="81" t="str">
        <f t="shared" si="1"/>
        <v>#DIV/0!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AG130" s="66">
        <v>0.36</v>
      </c>
      <c r="AH130" s="66">
        <v>0.202</v>
      </c>
      <c r="BK130" s="81" t="str">
        <f t="shared" si="1"/>
        <v>#DIV/0!</v>
      </c>
      <c r="BL130" s="66" t="s">
        <v>204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BK131" s="81" t="str">
        <f t="shared" si="1"/>
        <v>#DIV/0!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AL132" s="66">
        <v>2.931</v>
      </c>
      <c r="AO132" s="66">
        <v>3.03</v>
      </c>
      <c r="BG132" s="66">
        <v>1.13</v>
      </c>
      <c r="BH132" s="66">
        <v>0.632</v>
      </c>
      <c r="BK132" s="81">
        <f t="shared" si="1"/>
        <v>2.9805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AL133" s="66">
        <v>3.701</v>
      </c>
      <c r="AO133" s="66">
        <v>4.02</v>
      </c>
      <c r="AR133" s="66">
        <v>3.462</v>
      </c>
      <c r="AU133" s="66">
        <v>3.406</v>
      </c>
      <c r="AX133" s="66">
        <v>4.112</v>
      </c>
      <c r="BG133" s="66">
        <v>1.36</v>
      </c>
      <c r="BH133" s="66">
        <v>0.752</v>
      </c>
      <c r="BK133" s="81">
        <f t="shared" si="1"/>
        <v>3.7402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AL134" s="66">
        <v>2.709</v>
      </c>
      <c r="AO134" s="66">
        <v>2.92</v>
      </c>
      <c r="AR134" s="66">
        <v>2.313</v>
      </c>
      <c r="AU134" s="66">
        <v>2.2</v>
      </c>
      <c r="AX134" s="66">
        <v>2.962</v>
      </c>
      <c r="BA134" s="66">
        <v>2.801</v>
      </c>
      <c r="BG134" s="66">
        <v>4.208</v>
      </c>
      <c r="BH134" s="66">
        <v>2.473</v>
      </c>
      <c r="BK134" s="81">
        <f t="shared" si="1"/>
        <v>2.650833333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AL135" s="66">
        <v>2.02</v>
      </c>
      <c r="AO135" s="66">
        <v>2.305</v>
      </c>
      <c r="AR135" s="66">
        <v>1.933</v>
      </c>
      <c r="AU135" s="66">
        <v>2.298</v>
      </c>
      <c r="AX135" s="66">
        <v>2.189</v>
      </c>
      <c r="BG135" s="66">
        <v>1.4965</v>
      </c>
      <c r="BH135" s="66">
        <v>0.8664</v>
      </c>
      <c r="BK135" s="81">
        <f t="shared" si="1"/>
        <v>2.149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AL136" s="66">
        <v>2.716</v>
      </c>
      <c r="AO136" s="66">
        <v>2.668</v>
      </c>
      <c r="AR136" s="66">
        <v>2.716</v>
      </c>
      <c r="AU136" s="66">
        <v>2.668</v>
      </c>
      <c r="BG136" s="66">
        <v>1.73</v>
      </c>
      <c r="BH136" s="66">
        <v>0.944</v>
      </c>
      <c r="BK136" s="81">
        <f t="shared" si="1"/>
        <v>2.692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AG137" s="66">
        <v>1.05</v>
      </c>
      <c r="AH137" s="66">
        <v>0.579</v>
      </c>
      <c r="AL137" s="66">
        <v>3.069</v>
      </c>
      <c r="AO137" s="66">
        <v>3.048</v>
      </c>
      <c r="BK137" s="81">
        <f t="shared" si="1"/>
        <v>3.0585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AL138" s="66">
        <v>3.334</v>
      </c>
      <c r="AO138" s="66">
        <v>3.4</v>
      </c>
      <c r="BG138" s="66">
        <v>1.3483</v>
      </c>
      <c r="BH138" s="66">
        <v>0.7948</v>
      </c>
      <c r="BK138" s="81">
        <f t="shared" si="1"/>
        <v>3.367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AL139" s="66">
        <v>3.61</v>
      </c>
      <c r="AO139" s="66">
        <v>3.14</v>
      </c>
      <c r="AR139" s="66">
        <v>3.339</v>
      </c>
      <c r="AU139" s="66">
        <v>3.288</v>
      </c>
      <c r="BI139" s="66">
        <v>1.39</v>
      </c>
      <c r="BJ139" s="66">
        <v>0.889</v>
      </c>
      <c r="BK139" s="81">
        <f t="shared" si="1"/>
        <v>3.34425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AL140" s="66">
        <v>3.201</v>
      </c>
      <c r="AO140" s="66">
        <v>3.224</v>
      </c>
      <c r="BG140" s="66">
        <v>0.77</v>
      </c>
      <c r="BH140" s="66">
        <v>0.452</v>
      </c>
      <c r="BK140" s="81">
        <f t="shared" si="1"/>
        <v>3.2125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AL141" s="66">
        <v>2.571</v>
      </c>
      <c r="AO141" s="66">
        <v>2.469</v>
      </c>
      <c r="AR141" s="66">
        <v>2.736</v>
      </c>
      <c r="AU141" s="66">
        <v>2.446</v>
      </c>
      <c r="BG141" s="66">
        <v>1.05</v>
      </c>
      <c r="BH141" s="66">
        <v>0.598</v>
      </c>
      <c r="BI141" s="66">
        <v>0.08</v>
      </c>
      <c r="BJ141" s="66">
        <v>0.05</v>
      </c>
      <c r="BK141" s="81">
        <f t="shared" si="1"/>
        <v>2.5555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AL142" s="66">
        <v>1.899</v>
      </c>
      <c r="AO142" s="66">
        <v>2.08</v>
      </c>
      <c r="AR142" s="66">
        <v>2.016</v>
      </c>
      <c r="AU142" s="66">
        <v>2.1</v>
      </c>
      <c r="BG142" s="66">
        <v>1.74</v>
      </c>
      <c r="BH142" s="66">
        <v>1.002</v>
      </c>
      <c r="BK142" s="81">
        <f t="shared" si="1"/>
        <v>2.02375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AL143" s="66">
        <v>3.053</v>
      </c>
      <c r="AO143" s="66">
        <v>2.889</v>
      </c>
      <c r="BG143" s="66">
        <v>2.3092</v>
      </c>
      <c r="BH143" s="66">
        <v>1.357</v>
      </c>
      <c r="BK143" s="81">
        <f t="shared" si="1"/>
        <v>2.971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BK144" s="81" t="str">
        <f t="shared" si="1"/>
        <v>#DIV/0!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BK145" s="81" t="str">
        <f t="shared" si="1"/>
        <v>#DIV/0!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  <c r="BK146" s="81" t="str">
        <f t="shared" si="1"/>
        <v>#DIV/0!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BK147" s="81" t="str">
        <f t="shared" si="1"/>
        <v>#DIV/0!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BK148" s="81" t="str">
        <f t="shared" si="1"/>
        <v>#DIV/0!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1.698</v>
      </c>
      <c r="L149" s="66">
        <v>1.736</v>
      </c>
      <c r="O149" s="66">
        <v>1.75</v>
      </c>
      <c r="AG149" s="66">
        <v>1.27</v>
      </c>
      <c r="AH149" s="66">
        <v>0.708</v>
      </c>
      <c r="BG149" s="66">
        <v>1.83</v>
      </c>
      <c r="BH149" s="66">
        <v>1.006</v>
      </c>
      <c r="BK149" s="81" t="str">
        <f t="shared" si="1"/>
        <v>#DIV/0!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1.471</v>
      </c>
      <c r="L150" s="66">
        <v>1.501</v>
      </c>
      <c r="AG150" s="66">
        <v>1.08</v>
      </c>
      <c r="AH150" s="66">
        <v>0.596</v>
      </c>
      <c r="AL150" s="66">
        <v>3.464</v>
      </c>
      <c r="AO150" s="66">
        <v>3.671</v>
      </c>
      <c r="AR150" s="66">
        <v>3.57</v>
      </c>
      <c r="BG150" s="66">
        <v>1.971</v>
      </c>
      <c r="BH150" s="66">
        <v>1.125</v>
      </c>
      <c r="BK150" s="81">
        <f t="shared" si="1"/>
        <v>3.568333333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I151" s="66">
        <v>1.783</v>
      </c>
      <c r="L151" s="66">
        <v>1.682</v>
      </c>
      <c r="O151" s="66">
        <v>1.902</v>
      </c>
      <c r="AG151" s="66">
        <v>1.07</v>
      </c>
      <c r="AH151" s="66">
        <v>0.577</v>
      </c>
      <c r="AL151" s="66">
        <v>3.281</v>
      </c>
      <c r="AO151" s="66">
        <v>3.271</v>
      </c>
      <c r="BG151" s="66">
        <v>1.3847</v>
      </c>
      <c r="BH151" s="66">
        <v>0.812</v>
      </c>
      <c r="BK151" s="81">
        <f t="shared" si="1"/>
        <v>3.276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BK152" s="81" t="str">
        <f t="shared" si="1"/>
        <v>#DIV/0!</v>
      </c>
    </row>
    <row r="153">
      <c r="C153" s="142" t="s">
        <v>414</v>
      </c>
      <c r="D153" s="142" t="s">
        <v>414</v>
      </c>
      <c r="E153" s="142" t="s">
        <v>415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0">
        <v>0.52</v>
      </c>
      <c r="BH153" s="90">
        <v>0.291</v>
      </c>
      <c r="BI153" s="98"/>
      <c r="BJ153" s="98"/>
      <c r="BK153" s="98"/>
      <c r="BL153" s="98"/>
      <c r="BM153" s="98"/>
      <c r="BN153" s="98"/>
      <c r="BO153" s="98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44706.0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G24" s="66">
        <v>10.0</v>
      </c>
      <c r="I24" s="66">
        <v>1.773</v>
      </c>
      <c r="L24" s="66">
        <v>1.82</v>
      </c>
      <c r="O24" s="66">
        <v>2.04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G27" s="66">
        <v>10.0</v>
      </c>
      <c r="I27" s="66">
        <v>2.032</v>
      </c>
      <c r="L27" s="66">
        <v>2.001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G30" s="66">
        <v>10.0</v>
      </c>
      <c r="I30" s="66">
        <v>1.812</v>
      </c>
      <c r="L30" s="66">
        <v>1.982</v>
      </c>
      <c r="O30" s="66">
        <v>1.9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AJ35" s="66">
        <v>3.65</v>
      </c>
      <c r="AM35" s="66">
        <v>3.83</v>
      </c>
      <c r="AP35" s="66">
        <v>3.86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G42" s="66">
        <v>10.0</v>
      </c>
      <c r="I42" s="66">
        <v>1.888</v>
      </c>
      <c r="L42" s="66">
        <v>1.843</v>
      </c>
      <c r="O42" s="66">
        <v>1.983</v>
      </c>
      <c r="R42" s="66">
        <v>1.984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G47" s="66">
        <v>10.0</v>
      </c>
      <c r="I47" s="66">
        <v>2.078</v>
      </c>
      <c r="L47" s="66">
        <v>2.043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G48" s="66">
        <v>10.0</v>
      </c>
      <c r="I48" s="66">
        <v>1.762</v>
      </c>
      <c r="L48" s="66">
        <v>2.168</v>
      </c>
      <c r="O48" s="66">
        <v>1.872</v>
      </c>
      <c r="AJ48" s="66">
        <v>3.13</v>
      </c>
      <c r="AM48" s="66">
        <v>2.7</v>
      </c>
      <c r="AP48" s="66">
        <v>2.75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2.52</v>
      </c>
      <c r="AM75" s="66">
        <v>2.68</v>
      </c>
      <c r="AP75" s="66">
        <v>2.72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AJ82" s="66">
        <v>3.07</v>
      </c>
      <c r="AM82" s="66">
        <v>2.65</v>
      </c>
      <c r="AP82" s="66">
        <v>2.91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AJ91" s="66">
        <v>2.92</v>
      </c>
      <c r="AM91" s="66">
        <v>3.5</v>
      </c>
      <c r="AP91" s="66">
        <v>3.18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AJ92" s="66">
        <v>2.7</v>
      </c>
      <c r="AM92" s="66">
        <v>2.61</v>
      </c>
      <c r="AP92" s="66">
        <v>2.36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AJ93" s="66">
        <v>2.37</v>
      </c>
      <c r="AM93" s="66">
        <v>2.21</v>
      </c>
      <c r="AP93" s="66">
        <v>1.96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AJ111" s="66">
        <v>3.47</v>
      </c>
      <c r="AM111" s="66">
        <v>3.27</v>
      </c>
      <c r="AP111" s="66">
        <v>3.29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AJ112" s="66">
        <v>3.3</v>
      </c>
      <c r="AM112" s="66">
        <v>2.92</v>
      </c>
      <c r="AP112" s="66">
        <v>2.83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1.712</v>
      </c>
      <c r="L113" s="66">
        <v>1.897</v>
      </c>
      <c r="O113" s="66">
        <v>1.844</v>
      </c>
      <c r="AG113" s="66">
        <v>1.42</v>
      </c>
      <c r="AH113" s="66">
        <v>0.7909</v>
      </c>
      <c r="AJ113" s="66">
        <v>3.658</v>
      </c>
      <c r="AM113" s="66">
        <v>2.448</v>
      </c>
      <c r="AP113" s="66">
        <v>2.179</v>
      </c>
      <c r="AS113" s="66">
        <v>2.498</v>
      </c>
      <c r="AV113" s="66">
        <v>2.646</v>
      </c>
      <c r="BE113" s="66">
        <v>0.901</v>
      </c>
      <c r="BF113" s="66">
        <v>0.527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I114" s="66">
        <v>1.79</v>
      </c>
      <c r="L114" s="66">
        <v>1.798</v>
      </c>
      <c r="O114" s="66">
        <v>1.6</v>
      </c>
      <c r="AG114" s="66">
        <v>2.15</v>
      </c>
      <c r="AH114" s="66">
        <v>1.1338</v>
      </c>
      <c r="AJ114" s="66">
        <v>3.05</v>
      </c>
      <c r="AM114" s="66">
        <v>3.0</v>
      </c>
      <c r="AP114" s="66">
        <v>2.95</v>
      </c>
      <c r="BE114" s="66">
        <v>1.689</v>
      </c>
      <c r="BF114" s="66">
        <v>0.962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1.781</v>
      </c>
      <c r="L115" s="66">
        <v>1.778</v>
      </c>
      <c r="O115" s="66">
        <v>1.742</v>
      </c>
      <c r="AG115" s="66">
        <v>2.33</v>
      </c>
      <c r="AH115" s="66">
        <v>0.12419</v>
      </c>
      <c r="AJ115" s="66">
        <v>3.374</v>
      </c>
      <c r="AM115" s="66">
        <v>3.134</v>
      </c>
      <c r="AP115" s="66">
        <v>3.09</v>
      </c>
      <c r="BE115" s="66">
        <v>0.696</v>
      </c>
      <c r="BF115" s="66">
        <v>0.407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1.668</v>
      </c>
      <c r="L116" s="66">
        <v>1.78</v>
      </c>
      <c r="O116" s="66">
        <v>1.569</v>
      </c>
      <c r="AJ116" s="66">
        <v>3.35</v>
      </c>
      <c r="AM116" s="66">
        <v>3.25</v>
      </c>
      <c r="AP116" s="66">
        <v>3.6</v>
      </c>
      <c r="BE116" s="66">
        <v>0.647</v>
      </c>
      <c r="BF116" s="66">
        <v>0.381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  <c r="AJ118" s="66">
        <v>3.438</v>
      </c>
      <c r="AM118" s="66">
        <v>2.459</v>
      </c>
      <c r="AP118" s="66">
        <v>3.234</v>
      </c>
      <c r="AS118" s="66">
        <v>3.412</v>
      </c>
      <c r="AV118" s="66">
        <v>3.578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I119" s="66">
        <v>3.75</v>
      </c>
      <c r="L119" s="66">
        <v>3.55</v>
      </c>
      <c r="O119" s="66">
        <v>3.45</v>
      </c>
      <c r="R119" s="66">
        <v>3.65</v>
      </c>
      <c r="AJ119" s="66">
        <v>4.372</v>
      </c>
      <c r="AM119" s="66">
        <v>3.972</v>
      </c>
      <c r="AP119" s="66">
        <v>3.789</v>
      </c>
      <c r="BE119" s="66">
        <v>0.462</v>
      </c>
      <c r="BF119" s="66">
        <v>0.289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  <c r="AJ120" s="66">
        <v>4.8</v>
      </c>
      <c r="AM120" s="66">
        <v>3.4</v>
      </c>
      <c r="AP120" s="66">
        <v>4.35</v>
      </c>
      <c r="AS120" s="66">
        <v>4.5</v>
      </c>
      <c r="AV120" s="66">
        <v>4.8</v>
      </c>
      <c r="AY120" s="66">
        <v>4.65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  <c r="I121" s="66">
        <v>4.0</v>
      </c>
      <c r="L121" s="66">
        <v>4.8</v>
      </c>
      <c r="O121" s="66">
        <v>3.85</v>
      </c>
      <c r="R121" s="66">
        <v>4.3</v>
      </c>
      <c r="U121" s="66">
        <v>4.25</v>
      </c>
      <c r="X121" s="66">
        <v>4.05</v>
      </c>
      <c r="AJ121" s="66">
        <v>4.89</v>
      </c>
      <c r="AM121" s="66">
        <v>4.93</v>
      </c>
      <c r="AP121" s="66">
        <v>4.9</v>
      </c>
      <c r="AS121" s="66">
        <v>4.89</v>
      </c>
      <c r="AV121" s="66">
        <v>4.89</v>
      </c>
      <c r="AY121" s="66">
        <v>4.82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4.55</v>
      </c>
      <c r="L122" s="66">
        <v>4.15</v>
      </c>
      <c r="O122" s="66">
        <v>4.35</v>
      </c>
      <c r="R122" s="66">
        <v>4.975</v>
      </c>
      <c r="U122" s="66">
        <v>5.25</v>
      </c>
      <c r="X122" s="66">
        <v>4.45</v>
      </c>
      <c r="AJ122" s="66">
        <v>4.458</v>
      </c>
      <c r="AM122" s="66">
        <v>4.648</v>
      </c>
      <c r="AP122" s="66">
        <v>4.554</v>
      </c>
      <c r="AS122" s="66">
        <v>4.188</v>
      </c>
      <c r="AV122" s="66">
        <v>4.388</v>
      </c>
      <c r="AY122" s="66">
        <v>4.129</v>
      </c>
      <c r="BE122" s="66">
        <v>1.23</v>
      </c>
      <c r="BF122" s="66">
        <v>0.764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I123" s="66">
        <v>0.638</v>
      </c>
      <c r="L123" s="66">
        <v>0.897</v>
      </c>
      <c r="O123" s="66">
        <v>0.838</v>
      </c>
      <c r="R123" s="66">
        <v>0.712</v>
      </c>
      <c r="U123" s="66">
        <v>1.04</v>
      </c>
      <c r="X123" s="66">
        <v>0.8</v>
      </c>
      <c r="AG123" s="66">
        <v>1.35</v>
      </c>
      <c r="AH123" s="66">
        <v>0.8296</v>
      </c>
      <c r="AJ123" s="66">
        <v>3.408</v>
      </c>
      <c r="AM123" s="66">
        <v>2.301</v>
      </c>
      <c r="AP123" s="66">
        <v>2.3</v>
      </c>
      <c r="AS123" s="66">
        <v>2.928</v>
      </c>
      <c r="AV123" s="66">
        <v>1.876</v>
      </c>
      <c r="AY123" s="66">
        <v>3.516</v>
      </c>
      <c r="BE123" s="66">
        <v>1.33</v>
      </c>
      <c r="BF123" s="66">
        <v>0.849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I124" s="66">
        <v>1.3</v>
      </c>
      <c r="L124" s="66">
        <v>1.42</v>
      </c>
      <c r="O124" s="66">
        <v>0.72</v>
      </c>
      <c r="R124" s="66">
        <v>0.62</v>
      </c>
      <c r="U124" s="66">
        <v>1.63</v>
      </c>
      <c r="X124" s="66">
        <v>0.855</v>
      </c>
      <c r="AG124" s="66">
        <v>1.15</v>
      </c>
      <c r="AH124" s="66">
        <v>0.6994</v>
      </c>
      <c r="AJ124" s="66">
        <v>1.609</v>
      </c>
      <c r="AM124" s="66">
        <v>2.854</v>
      </c>
      <c r="AP124" s="66">
        <v>1.738</v>
      </c>
      <c r="AS124" s="66">
        <v>2.681</v>
      </c>
      <c r="BE124" s="66">
        <v>2.456</v>
      </c>
      <c r="BF124" s="66">
        <v>1.5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I125" s="66">
        <v>1.005</v>
      </c>
      <c r="L125" s="66">
        <v>0.51</v>
      </c>
      <c r="O125" s="66">
        <v>0.38</v>
      </c>
      <c r="R125" s="66">
        <v>0.75</v>
      </c>
      <c r="U125" s="66">
        <v>0.4</v>
      </c>
      <c r="X125" s="66">
        <v>0.457</v>
      </c>
      <c r="AG125" s="66">
        <v>0.62</v>
      </c>
      <c r="AH125" s="66">
        <v>0.3351</v>
      </c>
      <c r="AJ125" s="66">
        <v>1.878</v>
      </c>
      <c r="AM125" s="66">
        <v>2.143</v>
      </c>
      <c r="AP125" s="66">
        <v>1.918</v>
      </c>
      <c r="AS125" s="66">
        <v>2.463</v>
      </c>
      <c r="AV125" s="66">
        <v>2.208</v>
      </c>
      <c r="BE125" s="66">
        <v>2.315</v>
      </c>
      <c r="BF125" s="66">
        <v>1.412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I126" s="66">
        <v>2.213</v>
      </c>
      <c r="L126" s="66">
        <v>1.68</v>
      </c>
      <c r="O126" s="66">
        <v>2.142</v>
      </c>
      <c r="R126" s="66">
        <v>1.88</v>
      </c>
      <c r="AG126" s="66">
        <v>1.42</v>
      </c>
      <c r="AH126" s="66">
        <v>0.7335</v>
      </c>
      <c r="AJ126" s="66">
        <v>2.641</v>
      </c>
      <c r="AM126" s="66">
        <v>2.689</v>
      </c>
      <c r="BE126" s="66">
        <v>0.836</v>
      </c>
      <c r="BF126" s="66">
        <v>0.464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I127" s="66">
        <v>1.313</v>
      </c>
      <c r="L127" s="66">
        <v>0.908</v>
      </c>
      <c r="O127" s="66">
        <v>0.998</v>
      </c>
      <c r="R127" s="66">
        <v>0.942</v>
      </c>
      <c r="U127" s="66">
        <v>0.827</v>
      </c>
      <c r="X127" s="66">
        <v>1.28</v>
      </c>
      <c r="AG127" s="66">
        <v>0.53</v>
      </c>
      <c r="AH127" s="66">
        <v>0.3225</v>
      </c>
      <c r="AJ127" s="66">
        <v>2.243</v>
      </c>
      <c r="AM127" s="66">
        <v>2.19</v>
      </c>
      <c r="AP127" s="66">
        <v>1.58</v>
      </c>
      <c r="AS127" s="66">
        <v>1.845</v>
      </c>
      <c r="AV127" s="66">
        <v>1.998</v>
      </c>
      <c r="BE127" s="66">
        <v>2.313</v>
      </c>
      <c r="BF127" s="66">
        <v>1.413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I128" s="66">
        <v>1.43</v>
      </c>
      <c r="L128" s="66">
        <v>1.326</v>
      </c>
      <c r="O128" s="66">
        <v>1.347</v>
      </c>
      <c r="AG128" s="66">
        <v>0.67</v>
      </c>
      <c r="AH128" s="66">
        <v>0.3532</v>
      </c>
      <c r="AJ128" s="66">
        <v>2.855</v>
      </c>
      <c r="AM128" s="66">
        <v>2.932</v>
      </c>
      <c r="BE128" s="66">
        <v>1.419</v>
      </c>
      <c r="BF128" s="66">
        <v>0.791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I129" s="66">
        <v>1.95</v>
      </c>
      <c r="L129" s="66">
        <v>1.35</v>
      </c>
      <c r="O129" s="66">
        <v>1.35</v>
      </c>
      <c r="AG129" s="66">
        <v>2.33</v>
      </c>
      <c r="AH129" s="66">
        <v>1.2123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I130" s="66">
        <v>1.668</v>
      </c>
      <c r="L130" s="66">
        <v>1.473</v>
      </c>
      <c r="O130" s="66">
        <v>1.52</v>
      </c>
      <c r="AG130" s="66">
        <v>2.37</v>
      </c>
      <c r="AH130" s="66">
        <v>1.2072</v>
      </c>
      <c r="AJ130" s="66">
        <v>3.29</v>
      </c>
      <c r="AM130" s="66">
        <v>3.328</v>
      </c>
      <c r="AP130" s="66">
        <v>3.138</v>
      </c>
      <c r="BE130" s="66">
        <v>1.262</v>
      </c>
      <c r="BF130" s="66">
        <v>0.732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I131" s="66">
        <v>1.79</v>
      </c>
      <c r="L131" s="66">
        <v>1.32</v>
      </c>
      <c r="O131" s="66">
        <v>1.45</v>
      </c>
      <c r="AG131" s="66">
        <v>0.78</v>
      </c>
      <c r="AH131" s="66">
        <v>0.4056</v>
      </c>
      <c r="AJ131" s="66">
        <v>2.95</v>
      </c>
      <c r="AM131" s="66">
        <v>3.3</v>
      </c>
      <c r="AP131" s="66">
        <v>3.4</v>
      </c>
      <c r="BE131" s="66">
        <v>1.374</v>
      </c>
      <c r="BF131" s="66">
        <v>0.787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1.7</v>
      </c>
      <c r="L132" s="66">
        <v>1.85</v>
      </c>
      <c r="AG132" s="66">
        <v>1.8</v>
      </c>
      <c r="AH132" s="66">
        <v>0.9548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1.65</v>
      </c>
      <c r="L133" s="66">
        <v>1.65</v>
      </c>
      <c r="AG133" s="66">
        <v>0.77</v>
      </c>
      <c r="AH133" s="66">
        <v>0.4111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1.2</v>
      </c>
      <c r="L134" s="66">
        <v>1.72</v>
      </c>
      <c r="O134" s="66">
        <v>1.15</v>
      </c>
      <c r="R134" s="66">
        <v>1.75</v>
      </c>
      <c r="AG134" s="66">
        <v>0.47</v>
      </c>
      <c r="AH134" s="66">
        <v>0.3003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1.25</v>
      </c>
      <c r="L135" s="66">
        <v>1.25</v>
      </c>
      <c r="O135" s="66">
        <v>1.1</v>
      </c>
      <c r="R135" s="66">
        <v>1.3</v>
      </c>
      <c r="U135" s="66">
        <v>1.41</v>
      </c>
      <c r="X135" s="66">
        <v>1.5</v>
      </c>
      <c r="AG135" s="66">
        <v>1.45</v>
      </c>
      <c r="AH135" s="66">
        <v>0.7924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1.75</v>
      </c>
      <c r="L136" s="66">
        <v>1.65</v>
      </c>
      <c r="AG136" s="66">
        <v>0.91</v>
      </c>
      <c r="AH136" s="66">
        <v>0.4909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1.45</v>
      </c>
      <c r="L137" s="66">
        <v>1.55</v>
      </c>
      <c r="AG137" s="66">
        <v>0.86</v>
      </c>
      <c r="AH137" s="66">
        <v>0.4688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I138" s="66">
        <v>2.01</v>
      </c>
      <c r="L138" s="66">
        <v>2.15</v>
      </c>
      <c r="O138" s="66">
        <v>2.0</v>
      </c>
      <c r="AG138" s="66">
        <v>1.15</v>
      </c>
      <c r="AH138" s="66">
        <v>0.628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I139" s="66">
        <v>1.9</v>
      </c>
      <c r="L139" s="66">
        <v>2.07</v>
      </c>
      <c r="AG139" s="66">
        <v>0.92</v>
      </c>
      <c r="AH139" s="66">
        <v>0.5048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I140" s="66">
        <v>1.8</v>
      </c>
      <c r="L140" s="66">
        <v>1.75</v>
      </c>
      <c r="AG140" s="66">
        <v>1.49</v>
      </c>
      <c r="AH140" s="66">
        <v>0.8267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I141" s="66">
        <v>1.21</v>
      </c>
      <c r="L141" s="66">
        <v>1.5</v>
      </c>
      <c r="O141" s="66">
        <v>1.75</v>
      </c>
      <c r="R141" s="66">
        <v>1.21</v>
      </c>
      <c r="U141" s="66">
        <v>1.3</v>
      </c>
      <c r="AG141" s="66">
        <v>1.49</v>
      </c>
      <c r="AH141" s="66">
        <v>0.8477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I142" s="66">
        <v>1.65</v>
      </c>
      <c r="L142" s="66">
        <v>1.45</v>
      </c>
      <c r="O142" s="66">
        <v>1.23</v>
      </c>
      <c r="R142" s="66">
        <v>1.175</v>
      </c>
      <c r="AG142" s="66">
        <v>1.12</v>
      </c>
      <c r="AH142" s="66">
        <v>0.6963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I143" s="66">
        <v>1.95</v>
      </c>
      <c r="L143" s="66">
        <v>1.875</v>
      </c>
      <c r="AG143" s="66">
        <v>1.84</v>
      </c>
      <c r="AH143" s="66">
        <v>0.9986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I144" s="66">
        <v>2.258</v>
      </c>
      <c r="L144" s="66">
        <v>2.85</v>
      </c>
      <c r="O144" s="66">
        <v>2.713</v>
      </c>
      <c r="AG144" s="66">
        <v>1.03</v>
      </c>
      <c r="AH144" s="66">
        <v>0.5562</v>
      </c>
      <c r="AJ144" s="66">
        <v>3.15</v>
      </c>
      <c r="AM144" s="66">
        <v>3.2</v>
      </c>
      <c r="AP144" s="66">
        <v>3.2</v>
      </c>
      <c r="AS144" s="66">
        <v>3.334</v>
      </c>
      <c r="AV144" s="66">
        <v>2.753</v>
      </c>
      <c r="AY144" s="66">
        <v>2.513</v>
      </c>
      <c r="BB144" s="66">
        <v>2.883</v>
      </c>
      <c r="BE144" s="66">
        <v>1.531</v>
      </c>
      <c r="BF144" s="66">
        <v>0.879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I145" s="66">
        <v>2.008</v>
      </c>
      <c r="L145" s="66">
        <v>1.956</v>
      </c>
      <c r="O145" s="66">
        <v>2.348</v>
      </c>
      <c r="AG145" s="66">
        <v>1.19</v>
      </c>
      <c r="AH145" s="66">
        <v>0.6405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I147" s="66">
        <v>1.838</v>
      </c>
      <c r="L147" s="66">
        <v>2.008</v>
      </c>
      <c r="O147" s="66">
        <v>2.1</v>
      </c>
      <c r="AG147" s="66">
        <v>3.02</v>
      </c>
      <c r="AH147" s="66">
        <v>1.5873</v>
      </c>
      <c r="AJ147" s="66">
        <v>3.189</v>
      </c>
      <c r="AM147" s="66">
        <v>3.148</v>
      </c>
      <c r="BE147" s="66">
        <v>0.732</v>
      </c>
      <c r="BF147" s="66">
        <v>0.427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I148" s="66">
        <v>1.608</v>
      </c>
      <c r="L148" s="66">
        <v>1.43</v>
      </c>
      <c r="O148" s="66">
        <v>1.62</v>
      </c>
      <c r="AG148" s="66">
        <v>1.16</v>
      </c>
      <c r="AH148" s="66">
        <v>0.6283</v>
      </c>
      <c r="AJ148" s="66">
        <v>4.5</v>
      </c>
      <c r="AM148" s="66">
        <v>3.6</v>
      </c>
      <c r="AP148" s="66">
        <v>3.85</v>
      </c>
      <c r="AS148" s="66">
        <v>4.0</v>
      </c>
      <c r="BE148" s="66">
        <v>0.974</v>
      </c>
      <c r="BF148" s="66">
        <v>0.584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AJ149" s="66">
        <v>2.09</v>
      </c>
      <c r="AM149" s="66">
        <v>2.14</v>
      </c>
      <c r="AP149" s="66">
        <v>2.43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AG151" s="66">
        <v>0.91</v>
      </c>
      <c r="AH151" s="66">
        <v>0.496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  <c r="I152" s="66">
        <v>1.64</v>
      </c>
      <c r="L152" s="66">
        <v>1.93</v>
      </c>
      <c r="O152" s="66">
        <v>1.638</v>
      </c>
      <c r="AG152" s="66">
        <v>1.0</v>
      </c>
      <c r="AH152" s="66">
        <v>0.536</v>
      </c>
      <c r="AJ152" s="66">
        <v>3.45</v>
      </c>
      <c r="AM152" s="66">
        <v>3.05</v>
      </c>
      <c r="AP152" s="66">
        <v>3.4</v>
      </c>
      <c r="BE152" s="66">
        <v>1.066</v>
      </c>
      <c r="BF152" s="66">
        <v>0.63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44761.0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2.22</v>
      </c>
      <c r="L7" s="66">
        <v>2.5</v>
      </c>
      <c r="O7" s="66">
        <v>2.75</v>
      </c>
      <c r="R7" s="66">
        <v>2.7</v>
      </c>
      <c r="AG7" s="66">
        <v>0.4285</v>
      </c>
      <c r="AH7" s="66">
        <v>0.275</v>
      </c>
      <c r="AJ7" s="66">
        <v>5.6</v>
      </c>
      <c r="AM7" s="66">
        <v>5.7</v>
      </c>
      <c r="AP7" s="66">
        <v>5.5</v>
      </c>
      <c r="BE7" s="66">
        <v>1.1974</v>
      </c>
      <c r="BF7" s="66">
        <v>0.854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2.7</v>
      </c>
      <c r="L9" s="66">
        <v>2.6</v>
      </c>
      <c r="O9" s="66">
        <v>2.6</v>
      </c>
      <c r="AG9" s="66">
        <v>0.7666</v>
      </c>
      <c r="AH9" s="66">
        <v>0.477</v>
      </c>
      <c r="AJ9" s="66">
        <v>4.7</v>
      </c>
      <c r="AM9" s="66">
        <v>4.2</v>
      </c>
      <c r="AP9" s="66">
        <v>3.2</v>
      </c>
      <c r="AS9" s="66">
        <v>4.3</v>
      </c>
      <c r="BE9" s="66">
        <v>0.9121</v>
      </c>
      <c r="BF9" s="66">
        <v>0.613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4.2</v>
      </c>
      <c r="L18" s="66">
        <v>3.7</v>
      </c>
      <c r="O18" s="66">
        <v>3.6</v>
      </c>
      <c r="AG18" s="66">
        <v>0.9487</v>
      </c>
      <c r="AH18" s="66">
        <v>0.573</v>
      </c>
      <c r="AJ18" s="66">
        <v>4.5</v>
      </c>
      <c r="AM18" s="66">
        <v>4.6</v>
      </c>
      <c r="AP18" s="66">
        <v>4.6</v>
      </c>
      <c r="BE18" s="66">
        <v>0.7464</v>
      </c>
      <c r="BF18" s="66">
        <v>0.473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4.0</v>
      </c>
      <c r="L24" s="66">
        <v>3.8</v>
      </c>
      <c r="O24" s="66">
        <v>3.9</v>
      </c>
      <c r="AG24" s="66">
        <v>0.6927</v>
      </c>
      <c r="AH24" s="66">
        <v>0.448</v>
      </c>
      <c r="AJ24" s="66">
        <v>4.1</v>
      </c>
      <c r="AM24" s="66">
        <v>3.6</v>
      </c>
      <c r="AP24" s="66">
        <v>4.1</v>
      </c>
      <c r="BE24" s="66">
        <v>0.7344</v>
      </c>
      <c r="BF24" s="66">
        <v>0.463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3.2</v>
      </c>
      <c r="L27" s="66">
        <v>3.4</v>
      </c>
      <c r="O27" s="66">
        <v>3.2</v>
      </c>
      <c r="AG27" s="66">
        <v>0.5822</v>
      </c>
      <c r="AH27" s="66">
        <v>0.369</v>
      </c>
      <c r="AJ27" s="66">
        <v>3.8</v>
      </c>
      <c r="AM27" s="66">
        <v>3.85</v>
      </c>
      <c r="AP27" s="66">
        <v>4.0</v>
      </c>
      <c r="BE27" s="66">
        <v>0.1706</v>
      </c>
      <c r="BF27" s="66">
        <v>0.114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4.85</v>
      </c>
      <c r="L30" s="66">
        <v>4.37</v>
      </c>
      <c r="O30" s="66">
        <v>4.8</v>
      </c>
      <c r="R30" s="66">
        <v>4.5</v>
      </c>
      <c r="AG30" s="66">
        <v>0.5218</v>
      </c>
      <c r="AH30" s="66">
        <v>0.343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2.0</v>
      </c>
      <c r="L31" s="66">
        <v>2.25</v>
      </c>
      <c r="O31" s="66">
        <v>1.9</v>
      </c>
      <c r="AJ31" s="66">
        <v>5.1</v>
      </c>
      <c r="AM31" s="66">
        <v>4.8</v>
      </c>
      <c r="AP31" s="66">
        <v>5.1</v>
      </c>
      <c r="BE31" s="66">
        <v>1.8796</v>
      </c>
      <c r="BF31" s="66">
        <v>1.204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2.4</v>
      </c>
      <c r="L32" s="66">
        <v>2.3</v>
      </c>
      <c r="O32" s="66">
        <v>2.4</v>
      </c>
      <c r="AG32" s="66">
        <v>0.75</v>
      </c>
      <c r="AH32" s="66">
        <v>0.488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1.78</v>
      </c>
      <c r="L33" s="66">
        <v>2.33</v>
      </c>
      <c r="O33" s="66">
        <v>1.89</v>
      </c>
      <c r="R33" s="66">
        <v>2.02</v>
      </c>
      <c r="AG33" s="66">
        <v>0.7702</v>
      </c>
      <c r="AH33" s="66">
        <v>0.464</v>
      </c>
      <c r="AJ33" s="66">
        <v>3.7</v>
      </c>
      <c r="AM33" s="66">
        <v>3.75</v>
      </c>
      <c r="AP33" s="66">
        <v>3.8</v>
      </c>
      <c r="AS33" s="66">
        <v>3.7</v>
      </c>
      <c r="BE33" s="66">
        <v>0.6502</v>
      </c>
      <c r="BF33" s="66">
        <v>0.403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4.2</v>
      </c>
      <c r="L34" s="66">
        <v>4.0</v>
      </c>
      <c r="O34" s="66">
        <v>4.0</v>
      </c>
      <c r="AJ34" s="66">
        <v>4.6</v>
      </c>
      <c r="AM34" s="66">
        <v>4.6</v>
      </c>
      <c r="AP34" s="66">
        <v>4.7</v>
      </c>
      <c r="BE34" s="66">
        <v>0.5552</v>
      </c>
      <c r="BF34" s="66">
        <v>0.354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1.39</v>
      </c>
      <c r="L35" s="66">
        <v>1.78</v>
      </c>
      <c r="O35" s="66">
        <v>2.21</v>
      </c>
      <c r="R35" s="66">
        <v>2.3</v>
      </c>
      <c r="U35" s="66">
        <v>1.4</v>
      </c>
      <c r="AG35" s="66">
        <v>0.52</v>
      </c>
      <c r="AH35" s="66">
        <v>0.341</v>
      </c>
      <c r="AJ35" s="66">
        <v>4.2</v>
      </c>
      <c r="AM35" s="66">
        <v>3.8</v>
      </c>
      <c r="AP35" s="66">
        <v>4.3</v>
      </c>
      <c r="BE35" s="66">
        <v>0.7711</v>
      </c>
      <c r="BF35" s="66">
        <v>0.516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3.3</v>
      </c>
      <c r="L42" s="66">
        <v>3.25</v>
      </c>
      <c r="O42" s="66">
        <v>2.9</v>
      </c>
      <c r="AG42" s="66">
        <v>1.0724</v>
      </c>
      <c r="AH42" s="66">
        <v>0.644</v>
      </c>
      <c r="AJ42" s="66">
        <v>3.1</v>
      </c>
      <c r="AM42" s="66">
        <v>3.1</v>
      </c>
      <c r="AP42" s="66">
        <v>3.2</v>
      </c>
      <c r="AS42" s="66">
        <v>3.3</v>
      </c>
      <c r="BE42" s="66">
        <v>2.086</v>
      </c>
      <c r="BF42" s="66">
        <v>1.263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1.1</v>
      </c>
      <c r="L46" s="66">
        <v>1.0</v>
      </c>
      <c r="O46" s="66">
        <v>1.25</v>
      </c>
      <c r="AG46" s="66">
        <v>0.6687</v>
      </c>
      <c r="AH46" s="66">
        <v>0.427</v>
      </c>
      <c r="AJ46" s="66">
        <v>3.4</v>
      </c>
      <c r="AM46" s="66">
        <v>3.1</v>
      </c>
      <c r="AP46" s="66">
        <v>3.7</v>
      </c>
      <c r="AS46" s="66">
        <v>3.6</v>
      </c>
      <c r="BE46" s="66">
        <v>1.0206</v>
      </c>
      <c r="BF46" s="66">
        <v>0.683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I47" s="66">
        <v>3.8</v>
      </c>
      <c r="L47" s="66">
        <v>3.6</v>
      </c>
      <c r="O47" s="66">
        <v>4.0</v>
      </c>
      <c r="AG47" s="66">
        <v>0.2601</v>
      </c>
      <c r="AH47" s="66">
        <v>0.164</v>
      </c>
      <c r="AJ47" s="66">
        <v>4.8</v>
      </c>
      <c r="AM47" s="66">
        <v>4.6</v>
      </c>
      <c r="BE47" s="66">
        <v>0.2318</v>
      </c>
      <c r="BF47" s="66">
        <v>0.153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3.7</v>
      </c>
      <c r="L48" s="66">
        <v>3.4</v>
      </c>
      <c r="O48" s="66">
        <v>3.2</v>
      </c>
      <c r="R48" s="66">
        <v>3.2</v>
      </c>
      <c r="AG48" s="66">
        <v>1.3271</v>
      </c>
      <c r="AH48" s="66">
        <v>0.818</v>
      </c>
      <c r="AJ48" s="66">
        <v>4.5</v>
      </c>
      <c r="AM48" s="66">
        <v>4.3</v>
      </c>
      <c r="AP48" s="66">
        <v>3.8</v>
      </c>
      <c r="AS48" s="66">
        <v>4.2</v>
      </c>
      <c r="BE48" s="66">
        <v>0.7609</v>
      </c>
      <c r="BF48" s="66">
        <v>0.465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2.18</v>
      </c>
      <c r="L53" s="66">
        <v>2.2</v>
      </c>
      <c r="O53" s="66">
        <v>2.18</v>
      </c>
      <c r="AG53" s="66">
        <v>1.0465</v>
      </c>
      <c r="AH53" s="66">
        <v>0.615</v>
      </c>
      <c r="AJ53" s="66">
        <v>4.6</v>
      </c>
      <c r="AM53" s="66">
        <v>4.5</v>
      </c>
      <c r="AP53" s="66">
        <v>4.4</v>
      </c>
      <c r="BE53" s="66">
        <v>0.4273</v>
      </c>
      <c r="BF53" s="66">
        <v>0.271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AG74" s="66">
        <v>1.98</v>
      </c>
      <c r="AH74" s="66">
        <v>1.249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I75" s="66">
        <v>3.9</v>
      </c>
      <c r="L75" s="66">
        <v>2.84</v>
      </c>
      <c r="O75" s="66">
        <v>2.85</v>
      </c>
      <c r="AG75" s="66">
        <v>1.0567</v>
      </c>
      <c r="AH75" s="66">
        <v>0.709</v>
      </c>
      <c r="AJ75" s="66">
        <v>3.5</v>
      </c>
      <c r="AM75" s="66">
        <v>3.6</v>
      </c>
      <c r="AP75" s="66">
        <v>3.8</v>
      </c>
      <c r="BE75" s="66">
        <v>0.9587</v>
      </c>
      <c r="BF75" s="66">
        <v>0.643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2.1</v>
      </c>
      <c r="L82" s="66">
        <v>2.15</v>
      </c>
      <c r="O82" s="66">
        <v>2.09</v>
      </c>
      <c r="AG82" s="66">
        <v>1.4638</v>
      </c>
      <c r="AH82" s="66">
        <v>0.954</v>
      </c>
      <c r="AJ82" s="66">
        <v>4.25</v>
      </c>
      <c r="AM82" s="66">
        <v>4.4</v>
      </c>
      <c r="AP82" s="66">
        <v>4.5</v>
      </c>
      <c r="BE82" s="66">
        <v>1.5767</v>
      </c>
      <c r="BF82" s="66">
        <v>1.043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3.3</v>
      </c>
      <c r="L91" s="66">
        <v>3.7</v>
      </c>
      <c r="O91" s="66">
        <v>3.6</v>
      </c>
      <c r="AG91" s="66">
        <v>0.5509</v>
      </c>
      <c r="AH91" s="66">
        <v>0.345</v>
      </c>
      <c r="AJ91" s="66">
        <v>4.5</v>
      </c>
      <c r="AM91" s="66">
        <v>4.7</v>
      </c>
      <c r="AP91" s="66">
        <v>4.1</v>
      </c>
      <c r="BE91" s="66">
        <v>0.3612</v>
      </c>
      <c r="BF91" s="66">
        <v>0.171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3.2</v>
      </c>
      <c r="L92" s="66">
        <v>3.2</v>
      </c>
      <c r="O92" s="66">
        <v>3.0</v>
      </c>
      <c r="AG92" s="66">
        <v>0.6726</v>
      </c>
      <c r="AH92" s="66">
        <v>0.405</v>
      </c>
      <c r="AJ92" s="66">
        <v>3.55</v>
      </c>
      <c r="AM92" s="66">
        <v>3.4</v>
      </c>
      <c r="AP92" s="66">
        <v>3.4</v>
      </c>
      <c r="BE92" s="66">
        <v>0.6203</v>
      </c>
      <c r="BF92" s="66">
        <v>0.385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2.9</v>
      </c>
      <c r="L93" s="66">
        <v>2.7</v>
      </c>
      <c r="O93" s="66">
        <v>2.7</v>
      </c>
      <c r="AG93" s="66">
        <v>0.9217</v>
      </c>
      <c r="AH93" s="66">
        <v>0.573</v>
      </c>
      <c r="AJ93" s="66">
        <v>3.7</v>
      </c>
      <c r="AM93" s="66">
        <v>4.1</v>
      </c>
      <c r="AP93" s="66">
        <v>4.0</v>
      </c>
      <c r="AS93" s="66">
        <v>3.6</v>
      </c>
      <c r="AV93" s="66">
        <v>4.2</v>
      </c>
      <c r="BE93" s="66">
        <v>0.7412</v>
      </c>
      <c r="BF93" s="66">
        <v>0.464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3.6</v>
      </c>
      <c r="L107" s="66">
        <v>3.4</v>
      </c>
      <c r="O107" s="66">
        <v>3.6</v>
      </c>
      <c r="AG107" s="66">
        <v>0.9886</v>
      </c>
      <c r="AH107" s="66">
        <v>0.596</v>
      </c>
      <c r="AJ107" s="66">
        <v>4.8</v>
      </c>
      <c r="AM107" s="66">
        <v>4.6</v>
      </c>
      <c r="AP107" s="66">
        <v>4.5</v>
      </c>
      <c r="BE107" s="66">
        <v>1.3784</v>
      </c>
      <c r="BF107" s="66">
        <v>0.867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I110" s="66">
        <v>2.8</v>
      </c>
      <c r="L110" s="66">
        <v>3.1</v>
      </c>
      <c r="O110" s="66">
        <v>2.8</v>
      </c>
      <c r="AG110" s="66">
        <v>1.277</v>
      </c>
      <c r="AH110" s="66">
        <v>0.775</v>
      </c>
      <c r="AJ110" s="66">
        <v>3.8</v>
      </c>
      <c r="AM110" s="66">
        <v>3.9</v>
      </c>
      <c r="AP110" s="66">
        <v>4.3</v>
      </c>
      <c r="AS110" s="66">
        <v>3.9</v>
      </c>
      <c r="BE110" s="66">
        <v>1.1934</v>
      </c>
      <c r="BF110" s="66">
        <v>0.781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2.3</v>
      </c>
      <c r="L111" s="66">
        <v>2.5</v>
      </c>
      <c r="O111" s="66">
        <v>2.74</v>
      </c>
      <c r="R111" s="66">
        <v>2.15</v>
      </c>
      <c r="U111" s="66">
        <v>2.1</v>
      </c>
      <c r="AG111" s="66">
        <v>1.0739</v>
      </c>
      <c r="AH111" s="66">
        <v>0.665</v>
      </c>
      <c r="AJ111" s="66">
        <v>4.0</v>
      </c>
      <c r="AM111" s="66">
        <v>4.5</v>
      </c>
      <c r="AP111" s="66">
        <v>4.2</v>
      </c>
      <c r="AS111" s="66">
        <v>4.1</v>
      </c>
      <c r="BE111" s="66">
        <v>1.2352</v>
      </c>
      <c r="BF111" s="66">
        <v>0.777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4.1</v>
      </c>
      <c r="L112" s="66">
        <v>3.6</v>
      </c>
      <c r="O112" s="66">
        <v>4.5</v>
      </c>
      <c r="R112" s="66">
        <v>3.2</v>
      </c>
      <c r="U112" s="66">
        <v>4.1</v>
      </c>
      <c r="AG112" s="66">
        <v>0.4249</v>
      </c>
      <c r="AH112" s="66">
        <v>0.263</v>
      </c>
      <c r="AJ112" s="66">
        <v>5.3</v>
      </c>
      <c r="AM112" s="66">
        <v>5.0</v>
      </c>
      <c r="AP112" s="66">
        <v>4.3</v>
      </c>
      <c r="AS112" s="66">
        <v>4.8</v>
      </c>
      <c r="BE112" s="66">
        <v>0.5492</v>
      </c>
      <c r="BF112" s="66">
        <v>0.357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  <c r="I113" s="66">
        <v>2.52</v>
      </c>
      <c r="L113" s="66">
        <v>2.15</v>
      </c>
      <c r="O113" s="66">
        <v>2.08</v>
      </c>
      <c r="R113" s="66">
        <v>1.75</v>
      </c>
      <c r="U113" s="66">
        <v>2.19</v>
      </c>
      <c r="AG113" s="66">
        <v>0.2922</v>
      </c>
      <c r="AH113" s="66">
        <v>0.185</v>
      </c>
      <c r="BE113" s="66">
        <v>0.4725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  <c r="AG114" s="66">
        <v>1.1985</v>
      </c>
      <c r="AH114" s="66">
        <v>0.717</v>
      </c>
      <c r="AJ114" s="66">
        <v>4.4</v>
      </c>
      <c r="AM114" s="66">
        <v>4.4</v>
      </c>
      <c r="AP114" s="66">
        <v>4.2</v>
      </c>
      <c r="BE114" s="66">
        <v>1.0017</v>
      </c>
      <c r="BF114" s="66">
        <v>0.613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  <c r="I115" s="66">
        <v>2.75</v>
      </c>
      <c r="L115" s="66">
        <v>2.58</v>
      </c>
      <c r="O115" s="66">
        <v>3.17</v>
      </c>
      <c r="R115" s="66">
        <v>2.6</v>
      </c>
      <c r="AG115" s="66">
        <v>1.0208</v>
      </c>
      <c r="AH115" s="66">
        <v>0.627</v>
      </c>
      <c r="AJ115" s="66">
        <v>4.3</v>
      </c>
      <c r="AM115" s="66">
        <v>4.7</v>
      </c>
      <c r="AP115" s="66">
        <v>4.4</v>
      </c>
      <c r="BE115" s="66">
        <v>0.868</v>
      </c>
      <c r="BF115" s="66">
        <v>0.53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  <c r="I116" s="66">
        <v>2.22</v>
      </c>
      <c r="L116" s="66">
        <v>2.35</v>
      </c>
      <c r="O116" s="66">
        <v>2.4</v>
      </c>
      <c r="AG116" s="66">
        <v>1.0372</v>
      </c>
      <c r="AH116" s="66">
        <v>0.631</v>
      </c>
      <c r="AJ116" s="66">
        <v>4.0</v>
      </c>
      <c r="AM116" s="66">
        <v>4.5</v>
      </c>
      <c r="AP116" s="66">
        <v>4.2</v>
      </c>
      <c r="BE116" s="66">
        <v>0.6935</v>
      </c>
      <c r="BF116" s="66">
        <v>0.439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  <c r="I119" s="66">
        <v>6.0</v>
      </c>
      <c r="L119" s="66">
        <v>5.9</v>
      </c>
      <c r="O119" s="66">
        <v>6.3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  <c r="I122" s="66">
        <v>4.9</v>
      </c>
      <c r="L122" s="66">
        <v>5.15</v>
      </c>
      <c r="O122" s="66">
        <v>4.1</v>
      </c>
      <c r="R122" s="66">
        <v>3.0</v>
      </c>
      <c r="U122" s="66">
        <v>3.2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  <c r="I123" s="66">
        <v>1.19</v>
      </c>
      <c r="L123" s="66">
        <v>1.03</v>
      </c>
      <c r="O123" s="66">
        <v>0.99</v>
      </c>
      <c r="AG123" s="66">
        <v>2.6688</v>
      </c>
      <c r="AH123" s="66">
        <v>1.745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  <c r="I124" s="66">
        <v>1.43</v>
      </c>
      <c r="L124" s="66">
        <v>1.32</v>
      </c>
      <c r="O124" s="66">
        <v>1.55</v>
      </c>
      <c r="AG124" s="66">
        <v>1.1818</v>
      </c>
      <c r="AH124" s="66">
        <v>0.776</v>
      </c>
      <c r="AJ124" s="66">
        <v>2.8</v>
      </c>
      <c r="AM124" s="66">
        <v>2.9</v>
      </c>
      <c r="AP124" s="66">
        <v>3.6</v>
      </c>
      <c r="AS124" s="66">
        <v>3.5</v>
      </c>
      <c r="AV124" s="66">
        <v>3.5</v>
      </c>
      <c r="BE124" s="66">
        <v>1.1993</v>
      </c>
      <c r="BF124" s="66">
        <v>0.789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  <c r="I125" s="66">
        <v>0.3</v>
      </c>
      <c r="L125" s="66">
        <v>0.35</v>
      </c>
      <c r="O125" s="66">
        <v>0.25</v>
      </c>
      <c r="R125" s="66">
        <v>0.27</v>
      </c>
      <c r="AG125" s="66">
        <v>1.3034</v>
      </c>
      <c r="AH125" s="66">
        <v>0.803</v>
      </c>
      <c r="AJ125" s="66">
        <v>2.95</v>
      </c>
      <c r="AM125" s="66">
        <v>2.99</v>
      </c>
      <c r="AP125" s="66">
        <v>2.5</v>
      </c>
      <c r="AS125" s="66">
        <v>2.85</v>
      </c>
      <c r="BE125" s="66">
        <v>1.146</v>
      </c>
      <c r="BF125" s="66">
        <v>0.755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  <c r="I126" s="66">
        <v>1.34</v>
      </c>
      <c r="L126" s="66">
        <v>0.95</v>
      </c>
      <c r="O126" s="66">
        <v>0.67</v>
      </c>
      <c r="R126" s="66">
        <v>1.038</v>
      </c>
      <c r="U126" s="66">
        <v>0.89</v>
      </c>
      <c r="X126" s="66">
        <v>0.77</v>
      </c>
      <c r="AG126" s="66">
        <v>0.9707</v>
      </c>
      <c r="AH126" s="66">
        <v>0.669</v>
      </c>
      <c r="AJ126" s="66">
        <v>3.5</v>
      </c>
      <c r="AM126" s="66">
        <v>4.7</v>
      </c>
      <c r="AP126" s="66">
        <v>4.0</v>
      </c>
      <c r="AS126" s="66">
        <v>3.8</v>
      </c>
      <c r="BE126" s="66">
        <v>0.6306</v>
      </c>
      <c r="BF126" s="66">
        <v>0.385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  <c r="AJ127" s="66">
        <v>2.5</v>
      </c>
      <c r="AM127" s="66">
        <v>2.4</v>
      </c>
      <c r="AP127" s="66">
        <v>2.4</v>
      </c>
      <c r="BE127" s="66">
        <v>1.2425</v>
      </c>
      <c r="BF127" s="66">
        <v>0.819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  <c r="I128" s="66">
        <v>2.09</v>
      </c>
      <c r="L128" s="66">
        <v>2.28</v>
      </c>
      <c r="O128" s="66">
        <v>2.3</v>
      </c>
      <c r="R128" s="66">
        <v>2.35</v>
      </c>
      <c r="AG128" s="66">
        <v>0.9605</v>
      </c>
      <c r="AH128" s="66">
        <v>0.563</v>
      </c>
      <c r="AJ128" s="66">
        <v>4.0</v>
      </c>
      <c r="AM128" s="66">
        <v>3.4</v>
      </c>
      <c r="AP128" s="66">
        <v>3.2</v>
      </c>
      <c r="BE128" s="66">
        <v>0.417</v>
      </c>
      <c r="BF128" s="66">
        <v>0.26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  <c r="I129" s="66">
        <v>1.55</v>
      </c>
      <c r="L129" s="66">
        <v>1.55</v>
      </c>
      <c r="O129" s="66">
        <v>1.8</v>
      </c>
      <c r="R129" s="66">
        <v>1.59</v>
      </c>
      <c r="AG129" s="66">
        <v>1.4022</v>
      </c>
      <c r="AH129" s="66">
        <v>0.817</v>
      </c>
      <c r="AJ129" s="66">
        <v>3.5</v>
      </c>
      <c r="AM129" s="66">
        <v>3.8</v>
      </c>
      <c r="AP129" s="66">
        <v>3.6</v>
      </c>
      <c r="BE129" s="66">
        <v>0.881</v>
      </c>
      <c r="BF129" s="66">
        <v>0.544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  <c r="I130" s="66">
        <v>2.45</v>
      </c>
      <c r="L130" s="66">
        <v>2.6</v>
      </c>
      <c r="O130" s="66">
        <v>2.27</v>
      </c>
      <c r="AG130" s="66">
        <v>2.4003</v>
      </c>
      <c r="AH130" s="66">
        <v>1.415</v>
      </c>
      <c r="AJ130" s="66">
        <v>4.2</v>
      </c>
      <c r="AM130" s="66">
        <v>4.2</v>
      </c>
      <c r="AP130" s="66">
        <v>4.0</v>
      </c>
      <c r="BE130" s="66">
        <v>1.2172</v>
      </c>
      <c r="BF130" s="66">
        <v>0.712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  <c r="I131" s="66">
        <v>2.9</v>
      </c>
      <c r="L131" s="66">
        <v>3.5</v>
      </c>
      <c r="O131" s="66">
        <v>2.2</v>
      </c>
      <c r="R131" s="66">
        <v>2.6</v>
      </c>
      <c r="U131" s="66">
        <v>2.7</v>
      </c>
      <c r="AG131" s="66">
        <v>1.1206</v>
      </c>
      <c r="AH131" s="66">
        <v>0.659</v>
      </c>
      <c r="AJ131" s="66">
        <v>4.1</v>
      </c>
      <c r="AM131" s="66">
        <v>3.9</v>
      </c>
      <c r="AP131" s="66">
        <v>4.3</v>
      </c>
      <c r="BE131" s="66">
        <v>1.1074</v>
      </c>
      <c r="BF131" s="66">
        <v>0.682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  <c r="I132" s="66">
        <v>3.1</v>
      </c>
      <c r="L132" s="66">
        <v>2.73</v>
      </c>
      <c r="O132" s="66">
        <v>2.7</v>
      </c>
      <c r="R132" s="66">
        <v>2.9</v>
      </c>
      <c r="AJ132" s="66">
        <v>3.85</v>
      </c>
      <c r="AM132" s="66">
        <v>4.0</v>
      </c>
      <c r="AP132" s="66">
        <v>3.75</v>
      </c>
      <c r="BE132" s="66">
        <v>0.5461</v>
      </c>
      <c r="BF132" s="66">
        <v>0.342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  <c r="I133" s="66">
        <v>3.4</v>
      </c>
      <c r="L133" s="66">
        <v>3.0</v>
      </c>
      <c r="O133" s="66">
        <v>3.2</v>
      </c>
      <c r="AG133" s="66">
        <v>0.5006</v>
      </c>
      <c r="AH133" s="66">
        <v>0.304</v>
      </c>
      <c r="AJ133" s="66">
        <v>3.7</v>
      </c>
      <c r="AM133" s="66">
        <v>4.3</v>
      </c>
      <c r="AP133" s="66">
        <v>4.6</v>
      </c>
      <c r="AS133" s="66">
        <v>4.1</v>
      </c>
      <c r="BE133" s="66">
        <v>0.7229</v>
      </c>
      <c r="BF133" s="66">
        <v>0.449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  <c r="I134" s="66">
        <v>2.2</v>
      </c>
      <c r="L134" s="66">
        <v>2.25</v>
      </c>
      <c r="O134" s="66">
        <v>2.7</v>
      </c>
      <c r="R134" s="66">
        <v>2.22</v>
      </c>
      <c r="AG134" s="66">
        <v>1.1278</v>
      </c>
      <c r="AH134" s="66">
        <v>0.712</v>
      </c>
      <c r="AJ134" s="66">
        <v>3.7</v>
      </c>
      <c r="AM134" s="66">
        <v>3.76</v>
      </c>
      <c r="AP134" s="66">
        <v>3.7</v>
      </c>
      <c r="BE134" s="66">
        <v>1.494</v>
      </c>
      <c r="BF134" s="66">
        <v>0.95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  <c r="I135" s="66">
        <v>2.3</v>
      </c>
      <c r="L135" s="66">
        <v>2.5</v>
      </c>
      <c r="O135" s="66">
        <v>2.1</v>
      </c>
      <c r="AG135" s="66">
        <v>2.0581</v>
      </c>
      <c r="AH135" s="66">
        <v>1.297</v>
      </c>
      <c r="AJ135" s="66">
        <v>3.5</v>
      </c>
      <c r="AM135" s="66">
        <v>3.6</v>
      </c>
      <c r="AP135" s="66">
        <v>3.3</v>
      </c>
      <c r="BE135" s="66">
        <v>1.9936</v>
      </c>
      <c r="BF135" s="66">
        <v>1.28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  <c r="I136" s="66">
        <v>2.45</v>
      </c>
      <c r="L136" s="66">
        <v>2.9</v>
      </c>
      <c r="O136" s="66">
        <v>3.1</v>
      </c>
      <c r="R136" s="66">
        <v>2.45</v>
      </c>
      <c r="U136" s="66">
        <v>2.9</v>
      </c>
      <c r="AG136" s="66">
        <v>0.693</v>
      </c>
      <c r="AH136" s="66">
        <v>0.419</v>
      </c>
      <c r="AJ136" s="66">
        <v>4.3</v>
      </c>
      <c r="AM136" s="66">
        <v>3.9</v>
      </c>
      <c r="AP136" s="66">
        <v>4.1</v>
      </c>
      <c r="BE136" s="66">
        <v>1.298</v>
      </c>
      <c r="BF136" s="66">
        <v>0.798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  <c r="I137" s="66">
        <v>3.0</v>
      </c>
      <c r="L137" s="66">
        <v>3.4</v>
      </c>
      <c r="O137" s="66">
        <v>3.7</v>
      </c>
      <c r="R137" s="66">
        <v>2.4</v>
      </c>
      <c r="AG137" s="66">
        <v>0.9568</v>
      </c>
      <c r="AH137" s="66">
        <v>0.583</v>
      </c>
      <c r="AJ137" s="66">
        <v>4.2</v>
      </c>
      <c r="AM137" s="66">
        <v>4.0</v>
      </c>
      <c r="AP137" s="66">
        <v>4.0</v>
      </c>
      <c r="BE137" s="66">
        <v>0.4907</v>
      </c>
      <c r="BF137" s="66">
        <v>0.306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  <c r="I138" s="66">
        <v>4.2</v>
      </c>
      <c r="L138" s="66">
        <v>3.5</v>
      </c>
      <c r="O138" s="66">
        <v>4.1</v>
      </c>
      <c r="R138" s="66">
        <v>3.6</v>
      </c>
      <c r="AG138" s="66">
        <v>0.7274</v>
      </c>
      <c r="AH138" s="66">
        <v>0.458</v>
      </c>
      <c r="AJ138" s="66">
        <v>4.9</v>
      </c>
      <c r="AM138" s="66">
        <v>4.4</v>
      </c>
      <c r="AP138" s="66">
        <v>4.3</v>
      </c>
      <c r="BE138" s="66">
        <v>0.5019</v>
      </c>
      <c r="BF138" s="66">
        <v>0.324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  <c r="I139" s="66">
        <v>3.2</v>
      </c>
      <c r="L139" s="66">
        <v>3.6</v>
      </c>
      <c r="O139" s="66">
        <v>3.6</v>
      </c>
      <c r="AG139" s="66">
        <v>0.5952</v>
      </c>
      <c r="AH139" s="66">
        <v>0.374</v>
      </c>
      <c r="BE139" s="66">
        <v>0.5274</v>
      </c>
      <c r="BF139" s="66">
        <v>0.333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  <c r="I140" s="66">
        <v>3.0</v>
      </c>
      <c r="L140" s="66">
        <v>3.6</v>
      </c>
      <c r="O140" s="66">
        <v>3.5</v>
      </c>
      <c r="AG140" s="66">
        <v>1.2369</v>
      </c>
      <c r="AH140" s="66">
        <v>0.809</v>
      </c>
      <c r="AJ140" s="66">
        <v>5.5</v>
      </c>
      <c r="AM140" s="66">
        <v>4.5</v>
      </c>
      <c r="AP140" s="66">
        <v>4.5</v>
      </c>
      <c r="AS140" s="66">
        <v>4.5</v>
      </c>
      <c r="BE140" s="66">
        <v>1.6539</v>
      </c>
      <c r="BF140" s="66">
        <v>1.063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  <c r="I141" s="66">
        <v>2.0</v>
      </c>
      <c r="L141" s="66">
        <v>2.08</v>
      </c>
      <c r="O141" s="66">
        <v>1.6</v>
      </c>
      <c r="R141" s="66">
        <v>2.1</v>
      </c>
      <c r="AG141" s="66">
        <v>2.8127</v>
      </c>
      <c r="AH141" s="66">
        <v>1.757</v>
      </c>
      <c r="AJ141" s="66">
        <v>3.7</v>
      </c>
      <c r="AM141" s="66">
        <v>3.3</v>
      </c>
      <c r="AP141" s="66">
        <v>3.2</v>
      </c>
      <c r="AS141" s="66">
        <v>3.0</v>
      </c>
      <c r="BE141" s="66">
        <v>1.3579</v>
      </c>
      <c r="BF141" s="66">
        <v>0.874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  <c r="I142" s="66">
        <v>2.5</v>
      </c>
      <c r="L142" s="66">
        <v>3.0</v>
      </c>
      <c r="O142" s="66">
        <v>3.3</v>
      </c>
      <c r="R142" s="66">
        <v>3.6</v>
      </c>
      <c r="AJ142" s="66">
        <v>3.1</v>
      </c>
      <c r="AM142" s="66">
        <v>3.6</v>
      </c>
      <c r="AP142" s="66">
        <v>3.1</v>
      </c>
      <c r="AS142" s="66">
        <v>3.65</v>
      </c>
      <c r="AV142" s="66">
        <v>3.5</v>
      </c>
      <c r="BE142" s="66">
        <v>1.1822</v>
      </c>
      <c r="BF142" s="66">
        <v>0.746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  <c r="I143" s="66">
        <v>3.6</v>
      </c>
      <c r="L143" s="66">
        <v>3.3</v>
      </c>
      <c r="O143" s="66">
        <v>2.8</v>
      </c>
      <c r="R143" s="66">
        <v>3.6</v>
      </c>
      <c r="U143" s="66">
        <v>3.18</v>
      </c>
      <c r="AG143" s="66">
        <v>0.5793</v>
      </c>
      <c r="AH143" s="66">
        <v>0.355</v>
      </c>
      <c r="AJ143" s="66">
        <v>3.9</v>
      </c>
      <c r="AM143" s="66">
        <v>4.2</v>
      </c>
      <c r="AP143" s="66">
        <v>4.0</v>
      </c>
      <c r="BE143" s="66">
        <v>1.0943</v>
      </c>
      <c r="BF143" s="66">
        <v>0.688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  <c r="I144" s="66">
        <v>2.68</v>
      </c>
      <c r="L144" s="66">
        <v>2.65</v>
      </c>
      <c r="O144" s="66">
        <v>2.56</v>
      </c>
      <c r="AG144" s="66">
        <v>0.4504</v>
      </c>
      <c r="AH144" s="66">
        <v>0.275</v>
      </c>
      <c r="AJ144" s="66">
        <v>3.8</v>
      </c>
      <c r="AM144" s="66">
        <v>3.6</v>
      </c>
      <c r="AP144" s="66">
        <v>3.65</v>
      </c>
      <c r="BE144" s="66">
        <v>0.3671</v>
      </c>
      <c r="BF144" s="66">
        <v>0.232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  <c r="AJ145" s="66">
        <v>3.7</v>
      </c>
      <c r="AM145" s="66">
        <v>4.0</v>
      </c>
      <c r="AP145" s="66">
        <v>4.2</v>
      </c>
      <c r="BE145" s="66">
        <v>0.5877</v>
      </c>
      <c r="BF145" s="66">
        <v>0.368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  <c r="I147" s="66">
        <v>4.5</v>
      </c>
      <c r="L147" s="66">
        <v>3.6</v>
      </c>
      <c r="O147" s="66">
        <v>3.4</v>
      </c>
      <c r="R147" s="66">
        <v>3.5</v>
      </c>
      <c r="AG147" s="66">
        <v>0.7293</v>
      </c>
      <c r="AH147" s="66">
        <v>0.45</v>
      </c>
      <c r="AJ147" s="66">
        <v>4.6</v>
      </c>
      <c r="AM147" s="66">
        <v>4.9</v>
      </c>
      <c r="AP147" s="66">
        <v>4.6</v>
      </c>
      <c r="BE147" s="66">
        <v>0.3191</v>
      </c>
      <c r="BF147" s="66">
        <v>0.198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  <c r="AJ148" s="66">
        <v>4.3</v>
      </c>
      <c r="AM148" s="66">
        <v>4.1</v>
      </c>
      <c r="AP148" s="66">
        <v>4.0</v>
      </c>
      <c r="BE148" s="66">
        <v>0.4123</v>
      </c>
      <c r="BF148" s="66">
        <v>0.26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4.2</v>
      </c>
      <c r="L149" s="66">
        <v>4.1</v>
      </c>
      <c r="O149" s="66">
        <v>4.1</v>
      </c>
      <c r="AG149" s="66">
        <v>1.0687</v>
      </c>
      <c r="AH149" s="66">
        <v>0.661</v>
      </c>
      <c r="AJ149" s="66">
        <v>5.2</v>
      </c>
      <c r="AM149" s="66">
        <v>4.5</v>
      </c>
      <c r="AP149" s="66">
        <v>4.8</v>
      </c>
      <c r="AS149" s="66">
        <v>5.0</v>
      </c>
      <c r="BE149" s="66">
        <v>0.7236</v>
      </c>
      <c r="BF149" s="66">
        <v>0.463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3.5</v>
      </c>
      <c r="L150" s="66">
        <v>3.4</v>
      </c>
      <c r="O150" s="66">
        <v>3.4</v>
      </c>
      <c r="AG150" s="66">
        <v>0.8474</v>
      </c>
      <c r="AH150" s="66">
        <v>0.503</v>
      </c>
      <c r="AJ150" s="66">
        <v>4.0</v>
      </c>
      <c r="AM150" s="66">
        <v>3.0</v>
      </c>
      <c r="AP150" s="66">
        <v>4.2</v>
      </c>
      <c r="BE150" s="66">
        <v>0.6659</v>
      </c>
      <c r="BF150" s="66">
        <v>0.415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AG151" s="66">
        <v>1.0764</v>
      </c>
      <c r="AH151" s="66">
        <v>0.674</v>
      </c>
      <c r="AJ151" s="66">
        <v>3.9</v>
      </c>
      <c r="AM151" s="66">
        <v>3.9</v>
      </c>
      <c r="AP151" s="66">
        <v>4.0</v>
      </c>
      <c r="BE151" s="66">
        <v>1.0154</v>
      </c>
      <c r="BF151" s="66">
        <v>0.643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23">
        <v>44791.0</v>
      </c>
    </row>
    <row r="5">
      <c r="AG5" s="143" t="s">
        <v>232</v>
      </c>
      <c r="BE5" s="143" t="s">
        <v>232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  <c r="I7" s="66">
        <v>3.458</v>
      </c>
      <c r="L7" s="66">
        <v>2.9</v>
      </c>
      <c r="O7" s="66">
        <v>3.293</v>
      </c>
      <c r="R7" s="66">
        <v>3.382</v>
      </c>
      <c r="AJ7" s="66">
        <v>4.06</v>
      </c>
      <c r="AM7" s="66">
        <v>4.482</v>
      </c>
      <c r="AP7" s="66">
        <v>4.061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  <c r="I9" s="66">
        <v>2.342</v>
      </c>
      <c r="L9" s="66">
        <v>2.475</v>
      </c>
      <c r="O9" s="66">
        <v>2.448</v>
      </c>
      <c r="AJ9" s="66">
        <v>3.578</v>
      </c>
      <c r="AM9" s="66">
        <v>3.316</v>
      </c>
      <c r="AP9" s="66">
        <v>3.601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I18" s="66">
        <v>3.878</v>
      </c>
      <c r="L18" s="66">
        <v>3.913</v>
      </c>
      <c r="AJ18" s="66">
        <v>5.127</v>
      </c>
      <c r="AM18" s="66">
        <v>4.848</v>
      </c>
      <c r="AP18" s="66">
        <v>4.664</v>
      </c>
      <c r="AS18" s="66">
        <v>4.884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I24" s="66">
        <v>3.738</v>
      </c>
      <c r="L24" s="66">
        <v>3.902</v>
      </c>
      <c r="AJ24" s="66">
        <v>5.207</v>
      </c>
      <c r="AM24" s="66">
        <v>5.128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I27" s="66">
        <v>3.659</v>
      </c>
      <c r="L27" s="66">
        <v>3.458</v>
      </c>
      <c r="O27" s="66">
        <v>3.404</v>
      </c>
      <c r="AJ27" s="66">
        <v>5.27</v>
      </c>
      <c r="AM27" s="66">
        <v>5.267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I30" s="66">
        <v>3.302</v>
      </c>
      <c r="L30" s="66">
        <v>3.326</v>
      </c>
      <c r="AJ30" s="66">
        <v>4.923</v>
      </c>
      <c r="AM30" s="66">
        <v>4.929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  <c r="I31" s="66">
        <v>3.042</v>
      </c>
      <c r="L31" s="66">
        <v>2.378</v>
      </c>
      <c r="O31" s="66">
        <v>2.137</v>
      </c>
      <c r="AJ31" s="66">
        <v>3.981</v>
      </c>
      <c r="AM31" s="66">
        <v>3.502</v>
      </c>
      <c r="AP31" s="66">
        <v>3.802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  <c r="I32" s="66">
        <v>1.309</v>
      </c>
      <c r="L32" s="66">
        <v>1.412</v>
      </c>
      <c r="O32" s="66">
        <v>1.539</v>
      </c>
      <c r="AJ32" s="66">
        <v>4.051</v>
      </c>
      <c r="AM32" s="66">
        <v>4.006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  <c r="I33" s="66">
        <v>3.075</v>
      </c>
      <c r="L33" s="66">
        <v>3.068</v>
      </c>
      <c r="AJ33" s="66">
        <v>4.03</v>
      </c>
      <c r="AM33" s="66">
        <v>3.902</v>
      </c>
      <c r="AP33" s="66">
        <v>3.906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  <c r="I34" s="66">
        <v>2.968</v>
      </c>
      <c r="L34" s="66">
        <v>2.996</v>
      </c>
      <c r="AJ34" s="66">
        <v>4.329</v>
      </c>
      <c r="AM34" s="66">
        <v>4.369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  <c r="I35" s="66">
        <v>1.459</v>
      </c>
      <c r="L35" s="66">
        <v>1.321</v>
      </c>
      <c r="O35" s="66">
        <v>1.371</v>
      </c>
      <c r="AJ35" s="66">
        <v>3.165</v>
      </c>
      <c r="AM35" s="66">
        <v>3.1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I42" s="66">
        <v>3.071</v>
      </c>
      <c r="L42" s="66">
        <v>3.099</v>
      </c>
      <c r="AJ42" s="66">
        <v>4.022</v>
      </c>
      <c r="AM42" s="66">
        <v>3.769</v>
      </c>
      <c r="AP42" s="66">
        <v>4.216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  <c r="I46" s="66">
        <v>1.502</v>
      </c>
      <c r="L46" s="66">
        <v>1.802</v>
      </c>
      <c r="O46" s="66">
        <v>1.833</v>
      </c>
      <c r="R46" s="66">
        <v>3.756</v>
      </c>
      <c r="U46" s="66">
        <v>4.436</v>
      </c>
      <c r="X46" s="66">
        <v>4.31</v>
      </c>
      <c r="AJ46" s="66">
        <v>2.502</v>
      </c>
      <c r="AM46" s="66">
        <v>2.567</v>
      </c>
      <c r="AP46" s="66">
        <v>2.264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AJ47" s="66">
        <v>5.103</v>
      </c>
      <c r="AM47" s="66">
        <v>5.121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I48" s="66">
        <v>3.991</v>
      </c>
      <c r="AJ48" s="66">
        <v>4.402</v>
      </c>
      <c r="AM48" s="66">
        <v>4.511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  <c r="I53" s="66">
        <v>3.036</v>
      </c>
      <c r="L53" s="66">
        <v>3.302</v>
      </c>
      <c r="O53" s="66">
        <v>3.003</v>
      </c>
      <c r="AJ53" s="66">
        <v>3.789</v>
      </c>
      <c r="AM53" s="66">
        <v>4.158</v>
      </c>
      <c r="AP53" s="66">
        <v>4.531</v>
      </c>
      <c r="AS53" s="66">
        <v>4.128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I74" s="66">
        <v>3.01</v>
      </c>
      <c r="L74" s="66">
        <v>2.621</v>
      </c>
      <c r="O74" s="66">
        <v>2.926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  <c r="AJ75" s="66">
        <v>4.887</v>
      </c>
      <c r="AM75" s="66">
        <v>3.816</v>
      </c>
      <c r="AP75" s="66">
        <v>3.501</v>
      </c>
      <c r="AS75" s="66">
        <v>3.275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  <c r="I82" s="66">
        <v>2.478</v>
      </c>
      <c r="L82" s="66">
        <v>2.694</v>
      </c>
      <c r="O82" s="66">
        <v>3.128</v>
      </c>
      <c r="R82" s="66">
        <v>2.842</v>
      </c>
      <c r="AJ82" s="66">
        <v>3.416</v>
      </c>
      <c r="AM82" s="66">
        <v>3.711</v>
      </c>
      <c r="AP82" s="66">
        <v>4.02</v>
      </c>
      <c r="AS82" s="66">
        <v>3.816</v>
      </c>
      <c r="AV82" s="66">
        <v>3.844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  <c r="I91" s="66">
        <v>3.688</v>
      </c>
      <c r="L91" s="66">
        <v>3.8</v>
      </c>
      <c r="AJ91" s="66">
        <v>4.729</v>
      </c>
      <c r="AM91" s="66">
        <v>5.09</v>
      </c>
      <c r="AP91" s="66">
        <v>4.432</v>
      </c>
      <c r="AS91" s="66">
        <v>4.946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  <c r="I92" s="66">
        <v>2.751</v>
      </c>
      <c r="L92" s="66">
        <v>3.172</v>
      </c>
      <c r="O92" s="66">
        <v>3.02</v>
      </c>
      <c r="R92" s="66">
        <v>3.0</v>
      </c>
      <c r="AJ92" s="66">
        <v>4.765</v>
      </c>
      <c r="AM92" s="66">
        <v>4.675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  <c r="I93" s="66">
        <v>3.614</v>
      </c>
      <c r="L93" s="66">
        <v>3.621</v>
      </c>
      <c r="AJ93" s="66">
        <v>4.743</v>
      </c>
      <c r="AM93" s="66">
        <v>5.184</v>
      </c>
      <c r="AP93" s="66">
        <v>5.0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  <c r="I107" s="66">
        <v>3.881</v>
      </c>
      <c r="L107" s="66">
        <v>3.663</v>
      </c>
      <c r="O107" s="66">
        <v>3.948</v>
      </c>
      <c r="AJ107" s="66">
        <v>4.443</v>
      </c>
      <c r="AM107" s="66">
        <v>4.871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  <c r="AJ110" s="66">
        <v>4.339</v>
      </c>
      <c r="AM110" s="66">
        <v>4.501</v>
      </c>
      <c r="AP110" s="66">
        <v>4.5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  <c r="I111" s="66">
        <v>3.188</v>
      </c>
      <c r="L111" s="66">
        <v>3.187</v>
      </c>
      <c r="AJ111" s="66">
        <v>4.646</v>
      </c>
      <c r="AM111" s="66">
        <v>4.621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  <c r="I112" s="66">
        <v>3.72</v>
      </c>
      <c r="L112" s="66">
        <v>3.804</v>
      </c>
      <c r="O112" s="66">
        <v>4.128</v>
      </c>
      <c r="AJ112" s="66">
        <v>5.177</v>
      </c>
      <c r="AM112" s="66">
        <v>4.916</v>
      </c>
      <c r="AP112" s="66">
        <v>5.189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  <c r="I149" s="66">
        <v>3.531</v>
      </c>
      <c r="L149" s="66">
        <v>3.738</v>
      </c>
      <c r="O149" s="66">
        <v>3.554</v>
      </c>
      <c r="AJ149" s="66">
        <v>4.293</v>
      </c>
      <c r="AM149" s="66">
        <v>4.264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  <c r="I150" s="66">
        <v>2.765</v>
      </c>
      <c r="L150" s="66">
        <v>3.36</v>
      </c>
      <c r="O150" s="66">
        <v>3.06</v>
      </c>
      <c r="AJ150" s="66">
        <v>4.375</v>
      </c>
      <c r="AM150" s="66">
        <v>4.156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  <c r="I151" s="66">
        <v>3.008</v>
      </c>
      <c r="L151" s="66">
        <v>2.582</v>
      </c>
      <c r="O151" s="66">
        <v>2.963</v>
      </c>
      <c r="AJ151" s="66">
        <v>4.001</v>
      </c>
      <c r="AM151" s="66">
        <v>4.126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  <c r="E153" s="66">
        <v>2082.0</v>
      </c>
      <c r="I153" s="66">
        <v>3.528</v>
      </c>
      <c r="L153" s="66">
        <v>3.241</v>
      </c>
      <c r="O153" s="66">
        <v>3.234</v>
      </c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mergeCells count="2">
    <mergeCell ref="AG5:AH5"/>
    <mergeCell ref="BE5:BF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79" t="s">
        <v>12</v>
      </c>
      <c r="B1" s="79" t="s">
        <v>168</v>
      </c>
      <c r="C1" s="79" t="s">
        <v>169</v>
      </c>
      <c r="D1" s="79" t="s">
        <v>170</v>
      </c>
      <c r="E1" s="79" t="s">
        <v>171</v>
      </c>
      <c r="F1" s="79" t="s">
        <v>172</v>
      </c>
      <c r="G1" s="79" t="s">
        <v>173</v>
      </c>
      <c r="H1" s="79" t="s">
        <v>174</v>
      </c>
      <c r="I1" s="79" t="s">
        <v>175</v>
      </c>
      <c r="J1" s="79" t="s">
        <v>176</v>
      </c>
      <c r="K1" s="79" t="s">
        <v>177</v>
      </c>
      <c r="L1" s="79" t="s">
        <v>178</v>
      </c>
      <c r="M1" s="79" t="s">
        <v>45</v>
      </c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6" t="s">
        <v>57</v>
      </c>
      <c r="B2" s="66">
        <v>2345.0</v>
      </c>
      <c r="C2" s="66">
        <v>1.0</v>
      </c>
      <c r="D2" s="66">
        <v>1.0</v>
      </c>
      <c r="F2" s="66">
        <v>2.701</v>
      </c>
      <c r="G2" s="66">
        <v>1.512</v>
      </c>
      <c r="H2" s="66">
        <v>0.835</v>
      </c>
      <c r="I2" s="66">
        <v>0.442</v>
      </c>
      <c r="J2" s="66">
        <v>12.22</v>
      </c>
      <c r="K2" s="81">
        <f>average(2.18,2.12,2.09,2.15)</f>
        <v>2.135</v>
      </c>
      <c r="L2" s="82">
        <v>44628.0</v>
      </c>
    </row>
    <row r="3">
      <c r="A3" s="66" t="s">
        <v>57</v>
      </c>
      <c r="B3" s="66">
        <v>2380.0</v>
      </c>
      <c r="C3" s="66">
        <v>3.0</v>
      </c>
      <c r="D3" s="66">
        <v>1.0</v>
      </c>
      <c r="F3" s="66">
        <v>1.067</v>
      </c>
      <c r="G3" s="66">
        <v>0.647</v>
      </c>
      <c r="H3" s="66">
        <v>0.453</v>
      </c>
      <c r="I3" s="66">
        <v>0.24</v>
      </c>
      <c r="J3" s="66">
        <v>7.29</v>
      </c>
      <c r="K3" s="81">
        <f>average(1.69,1.64,1.57,1.59)</f>
        <v>1.6225</v>
      </c>
      <c r="L3" s="82">
        <v>44628.0</v>
      </c>
    </row>
    <row r="4">
      <c r="A4" s="66" t="s">
        <v>57</v>
      </c>
      <c r="B4" s="66">
        <v>2377.0</v>
      </c>
      <c r="C4" s="66">
        <v>1.0</v>
      </c>
      <c r="D4" s="66">
        <v>0.0</v>
      </c>
      <c r="F4" s="66">
        <v>0.528</v>
      </c>
      <c r="G4" s="66">
        <v>0.147</v>
      </c>
      <c r="H4" s="66">
        <v>0.065</v>
      </c>
      <c r="I4" s="66">
        <v>0.019</v>
      </c>
      <c r="J4" s="66">
        <v>2.47</v>
      </c>
      <c r="K4" s="81">
        <f>average(0.91,0.75,0.86,0.91)</f>
        <v>0.8575</v>
      </c>
      <c r="L4" s="82">
        <v>44628.0</v>
      </c>
    </row>
    <row r="5">
      <c r="A5" s="66" t="s">
        <v>57</v>
      </c>
      <c r="B5" s="66">
        <v>2352.0</v>
      </c>
      <c r="C5" s="66">
        <v>1.0</v>
      </c>
      <c r="D5" s="66">
        <v>1.0</v>
      </c>
      <c r="F5" s="66">
        <v>1.105</v>
      </c>
      <c r="G5" s="66">
        <v>0.717</v>
      </c>
      <c r="H5" s="66">
        <v>0.283</v>
      </c>
      <c r="I5" s="66">
        <v>0.154</v>
      </c>
      <c r="J5" s="66">
        <v>8.31</v>
      </c>
      <c r="K5" s="81">
        <f>average(1.37,1.38,1.37,1.5)</f>
        <v>1.405</v>
      </c>
      <c r="L5" s="82">
        <v>44628.0</v>
      </c>
    </row>
    <row r="6">
      <c r="A6" s="66" t="s">
        <v>179</v>
      </c>
      <c r="B6" s="66">
        <v>2004.0</v>
      </c>
      <c r="C6" s="66">
        <v>3.0</v>
      </c>
      <c r="D6" s="66">
        <v>0.0</v>
      </c>
      <c r="F6" s="66">
        <v>0.274</v>
      </c>
      <c r="G6" s="66">
        <v>0.083</v>
      </c>
      <c r="H6" s="66">
        <v>0.056</v>
      </c>
      <c r="I6" s="66">
        <v>0.016</v>
      </c>
      <c r="J6" s="66">
        <v>2.21</v>
      </c>
      <c r="K6" s="66" t="s">
        <v>58</v>
      </c>
      <c r="L6" s="82">
        <v>44628.0</v>
      </c>
    </row>
    <row r="7">
      <c r="A7" s="66" t="s">
        <v>57</v>
      </c>
      <c r="B7" s="66">
        <v>2354.0</v>
      </c>
      <c r="C7" s="66">
        <v>2.0</v>
      </c>
      <c r="D7" s="66">
        <v>1.0</v>
      </c>
      <c r="E7" s="66" t="s">
        <v>180</v>
      </c>
      <c r="F7" s="66">
        <v>1.073</v>
      </c>
      <c r="G7" s="66">
        <v>0.643</v>
      </c>
      <c r="H7" s="66">
        <v>0.155</v>
      </c>
      <c r="I7" s="66">
        <v>0.079</v>
      </c>
      <c r="J7" s="66">
        <v>5.14</v>
      </c>
      <c r="K7" s="81">
        <f>average(1.43,1.47,1.49,1.56)</f>
        <v>1.4875</v>
      </c>
      <c r="L7" s="82">
        <v>44628.0</v>
      </c>
    </row>
    <row r="8">
      <c r="A8" s="66" t="s">
        <v>57</v>
      </c>
      <c r="B8" s="66">
        <v>2377.0</v>
      </c>
      <c r="C8" s="66">
        <v>4.0</v>
      </c>
      <c r="D8" s="66">
        <v>1.0</v>
      </c>
      <c r="E8" s="66" t="s">
        <v>181</v>
      </c>
      <c r="F8" s="66">
        <v>0.204</v>
      </c>
      <c r="G8" s="66">
        <v>0.123</v>
      </c>
      <c r="H8" s="66">
        <v>0.279</v>
      </c>
      <c r="I8" s="66">
        <v>0.132</v>
      </c>
      <c r="J8" s="66">
        <v>4.01</v>
      </c>
      <c r="K8" s="81">
        <f>average(2.12,2.34,2.42,2.18)</f>
        <v>2.265</v>
      </c>
      <c r="L8" s="82">
        <v>44628.0</v>
      </c>
    </row>
    <row r="9">
      <c r="A9" s="66" t="s">
        <v>57</v>
      </c>
      <c r="B9" s="66">
        <v>2354.0</v>
      </c>
      <c r="C9" s="66">
        <v>2.0</v>
      </c>
      <c r="D9" s="66">
        <v>1.0</v>
      </c>
      <c r="E9" s="66" t="s">
        <v>181</v>
      </c>
      <c r="F9" s="66">
        <v>0.205</v>
      </c>
      <c r="G9" s="66">
        <v>0.114</v>
      </c>
      <c r="H9" s="66">
        <v>0.036</v>
      </c>
      <c r="I9" s="66">
        <v>0.017</v>
      </c>
      <c r="J9" s="66">
        <v>1.66</v>
      </c>
      <c r="K9" s="81">
        <f>average(1.14,1.06,1.17,0.99)</f>
        <v>1.09</v>
      </c>
      <c r="L9" s="82">
        <v>44628.0</v>
      </c>
    </row>
    <row r="10">
      <c r="A10" s="66" t="s">
        <v>57</v>
      </c>
      <c r="B10" s="66">
        <v>2354.0</v>
      </c>
      <c r="C10" s="66">
        <v>2.0</v>
      </c>
      <c r="D10" s="66">
        <v>2.0</v>
      </c>
      <c r="F10" s="66">
        <v>1.671</v>
      </c>
      <c r="G10" s="66">
        <v>0.98</v>
      </c>
      <c r="H10" s="66">
        <v>0.679</v>
      </c>
      <c r="I10" s="66">
        <v>0.346</v>
      </c>
      <c r="J10" s="66">
        <v>9.04</v>
      </c>
      <c r="K10" s="81">
        <f>average(1.81,1.82,1.76,1.84)</f>
        <v>1.8075</v>
      </c>
      <c r="L10" s="82">
        <v>44628.0</v>
      </c>
    </row>
    <row r="11">
      <c r="A11" s="66" t="s">
        <v>57</v>
      </c>
      <c r="B11" s="66">
        <v>2352.0</v>
      </c>
      <c r="C11" s="66">
        <v>4.0</v>
      </c>
      <c r="D11" s="66">
        <v>1.0</v>
      </c>
      <c r="F11" s="66">
        <v>1.394</v>
      </c>
      <c r="G11" s="66">
        <v>0.87</v>
      </c>
      <c r="H11" s="66">
        <v>0.382</v>
      </c>
      <c r="I11" s="66">
        <v>0.221</v>
      </c>
      <c r="J11" s="66">
        <v>11.76</v>
      </c>
      <c r="K11" s="81">
        <f>average(1.69,1.71,1.72,1.76)</f>
        <v>1.72</v>
      </c>
      <c r="L11" s="82">
        <v>44628.0</v>
      </c>
    </row>
    <row r="12">
      <c r="A12" s="66" t="s">
        <v>57</v>
      </c>
      <c r="B12" s="66">
        <v>2376.0</v>
      </c>
      <c r="C12" s="66">
        <v>5.0</v>
      </c>
      <c r="D12" s="66">
        <v>1.0</v>
      </c>
      <c r="F12" s="66">
        <v>0.681</v>
      </c>
      <c r="G12" s="66">
        <v>0.283</v>
      </c>
      <c r="H12" s="66">
        <v>0.055</v>
      </c>
      <c r="I12" s="66">
        <v>0.052</v>
      </c>
      <c r="J12" s="66">
        <v>2.82</v>
      </c>
      <c r="K12" s="81">
        <f>average(1.43,1.32,1.27,1.34)</f>
        <v>1.34</v>
      </c>
      <c r="L12" s="82">
        <v>44628.0</v>
      </c>
    </row>
    <row r="13">
      <c r="A13" s="66" t="s">
        <v>57</v>
      </c>
      <c r="B13" s="66">
        <v>2380.0</v>
      </c>
      <c r="C13" s="66">
        <v>2.0</v>
      </c>
      <c r="D13" s="66">
        <v>1.0</v>
      </c>
      <c r="E13" s="66" t="s">
        <v>180</v>
      </c>
      <c r="F13" s="66">
        <v>2.45</v>
      </c>
      <c r="G13" s="66">
        <v>1.5</v>
      </c>
      <c r="H13" s="66">
        <v>0.56</v>
      </c>
      <c r="I13" s="66">
        <v>0.272</v>
      </c>
      <c r="J13" s="66">
        <v>8.24</v>
      </c>
      <c r="K13" s="81">
        <f>average(2.27,1.86,1.89,1.84)</f>
        <v>1.965</v>
      </c>
      <c r="L13" s="82">
        <v>44628.0</v>
      </c>
    </row>
    <row r="14">
      <c r="A14" s="66" t="s">
        <v>57</v>
      </c>
      <c r="B14" s="66">
        <v>2354.0</v>
      </c>
      <c r="C14" s="66">
        <v>1.0</v>
      </c>
      <c r="D14" s="66">
        <v>1.0</v>
      </c>
      <c r="F14" s="66">
        <v>0.698</v>
      </c>
      <c r="G14" s="66">
        <v>0.398</v>
      </c>
      <c r="H14" s="66">
        <v>0.103</v>
      </c>
      <c r="I14" s="66">
        <v>0.047</v>
      </c>
      <c r="J14" s="66">
        <v>3.81</v>
      </c>
      <c r="K14" s="81">
        <f>average(0.97,1.03,1.18,1.1)</f>
        <v>1.07</v>
      </c>
      <c r="L14" s="82">
        <v>44628.0</v>
      </c>
    </row>
    <row r="15">
      <c r="A15" s="66" t="s">
        <v>57</v>
      </c>
      <c r="B15" s="66">
        <v>2345.0</v>
      </c>
      <c r="C15" s="66">
        <v>2.0</v>
      </c>
      <c r="D15" s="66">
        <v>1.0</v>
      </c>
      <c r="F15" s="66">
        <v>0.932</v>
      </c>
      <c r="G15" s="66">
        <v>0.529</v>
      </c>
      <c r="H15" s="66">
        <v>0.355</v>
      </c>
      <c r="I15" s="66">
        <v>0.176</v>
      </c>
      <c r="J15" s="66">
        <v>4.87</v>
      </c>
      <c r="K15" s="81">
        <f>average(1.74,1.99,1.84,1.81)</f>
        <v>1.845</v>
      </c>
      <c r="L15" s="82">
        <v>44628.0</v>
      </c>
    </row>
    <row r="16">
      <c r="A16" s="66" t="s">
        <v>57</v>
      </c>
      <c r="B16" s="66">
        <v>2354.0</v>
      </c>
      <c r="C16" s="66">
        <v>4.0</v>
      </c>
      <c r="D16" s="66">
        <v>1.0</v>
      </c>
      <c r="F16" s="66">
        <v>0.468</v>
      </c>
      <c r="G16" s="66">
        <v>0.268</v>
      </c>
      <c r="H16" s="66">
        <v>0.107</v>
      </c>
      <c r="I16" s="66">
        <v>0.051</v>
      </c>
      <c r="J16" s="66">
        <v>4.53</v>
      </c>
      <c r="K16" s="81">
        <f>average(1.21,1.08,1.01,1.02)</f>
        <v>1.08</v>
      </c>
      <c r="L16" s="82">
        <v>44628.0</v>
      </c>
    </row>
    <row r="17">
      <c r="A17" s="66" t="s">
        <v>57</v>
      </c>
      <c r="B17" s="66">
        <v>2376.0</v>
      </c>
      <c r="C17" s="66">
        <v>2.0</v>
      </c>
      <c r="D17" s="66">
        <v>1.0</v>
      </c>
      <c r="F17" s="66">
        <v>2.404</v>
      </c>
      <c r="G17" s="66">
        <v>1.156</v>
      </c>
      <c r="H17" s="66">
        <v>0.291</v>
      </c>
      <c r="I17" s="66">
        <v>0.123</v>
      </c>
      <c r="J17" s="66">
        <v>5.27</v>
      </c>
      <c r="K17" s="81">
        <f>average(1.56,1.57,1.58,1.63)</f>
        <v>1.585</v>
      </c>
      <c r="L17" s="82">
        <v>44628.0</v>
      </c>
    </row>
    <row r="18">
      <c r="A18" s="66" t="s">
        <v>179</v>
      </c>
      <c r="B18" s="66">
        <v>2004.0</v>
      </c>
      <c r="C18" s="66">
        <v>4.0</v>
      </c>
      <c r="D18" s="66">
        <v>0.0</v>
      </c>
      <c r="F18" s="66">
        <v>0.349</v>
      </c>
      <c r="G18" s="66">
        <v>0.112</v>
      </c>
      <c r="H18" s="66">
        <v>0.094</v>
      </c>
      <c r="I18" s="66">
        <v>0.023</v>
      </c>
      <c r="J18" s="66">
        <v>2.78</v>
      </c>
      <c r="K18" s="66" t="s">
        <v>58</v>
      </c>
      <c r="L18" s="82">
        <v>44628.0</v>
      </c>
    </row>
    <row r="19">
      <c r="A19" s="66" t="s">
        <v>57</v>
      </c>
      <c r="B19" s="66">
        <v>2380.0</v>
      </c>
      <c r="C19" s="66">
        <v>1.0</v>
      </c>
      <c r="D19" s="66">
        <v>1.0</v>
      </c>
      <c r="E19" s="66" t="s">
        <v>180</v>
      </c>
      <c r="F19" s="66">
        <v>1.373</v>
      </c>
      <c r="G19" s="66">
        <v>0.857</v>
      </c>
      <c r="H19" s="66">
        <v>0.215</v>
      </c>
      <c r="I19" s="66">
        <v>0.131</v>
      </c>
      <c r="J19" s="66">
        <v>3.56</v>
      </c>
      <c r="K19" s="81">
        <f>average(1.9,1.68,1.72,1.74)</f>
        <v>1.76</v>
      </c>
      <c r="L19" s="82">
        <v>44628.0</v>
      </c>
    </row>
    <row r="20">
      <c r="A20" s="66" t="s">
        <v>57</v>
      </c>
      <c r="B20" s="66">
        <v>2301.0</v>
      </c>
      <c r="C20" s="66">
        <v>3.0</v>
      </c>
      <c r="D20" s="66">
        <v>1.0</v>
      </c>
      <c r="F20" s="66">
        <v>5.231</v>
      </c>
      <c r="G20" s="66">
        <v>2.854</v>
      </c>
      <c r="H20" s="66">
        <v>0.707</v>
      </c>
      <c r="I20" s="66">
        <v>0.358</v>
      </c>
      <c r="J20" s="66">
        <v>11.05</v>
      </c>
      <c r="K20" s="81">
        <f>average(2.19,2.16,2.18,2.29)</f>
        <v>2.205</v>
      </c>
      <c r="L20" s="82">
        <v>44628.0</v>
      </c>
    </row>
    <row r="21">
      <c r="A21" s="66" t="s">
        <v>57</v>
      </c>
      <c r="B21" s="66">
        <v>2380.0</v>
      </c>
      <c r="C21" s="66">
        <v>4.0</v>
      </c>
      <c r="D21" s="66">
        <v>1.0</v>
      </c>
      <c r="F21" s="66">
        <v>0.959</v>
      </c>
      <c r="G21" s="66">
        <v>0.586</v>
      </c>
      <c r="H21" s="66">
        <v>0.329</v>
      </c>
      <c r="I21" s="66">
        <v>0.191</v>
      </c>
      <c r="J21" s="66">
        <v>5.69</v>
      </c>
      <c r="K21" s="81">
        <f>average(1.65,1.53,1.85,1.83)</f>
        <v>1.715</v>
      </c>
      <c r="L21" s="82">
        <v>44628.0</v>
      </c>
    </row>
    <row r="22">
      <c r="A22" s="66" t="s">
        <v>57</v>
      </c>
      <c r="B22" s="66">
        <v>2376.0</v>
      </c>
      <c r="C22" s="66">
        <v>6.0</v>
      </c>
      <c r="D22" s="66">
        <v>1.0</v>
      </c>
      <c r="F22" s="66">
        <v>0.48</v>
      </c>
      <c r="G22" s="66">
        <v>0.979</v>
      </c>
      <c r="H22" s="66">
        <v>0.094</v>
      </c>
      <c r="I22" s="66">
        <v>0.14</v>
      </c>
      <c r="J22" s="66">
        <v>5.58</v>
      </c>
      <c r="K22" s="81">
        <f>average(1.6,1.62,1.5,1.63)</f>
        <v>1.5875</v>
      </c>
      <c r="L22" s="82">
        <v>44628.0</v>
      </c>
    </row>
    <row r="23">
      <c r="A23" s="66" t="s">
        <v>57</v>
      </c>
      <c r="B23" s="66">
        <v>2376.0</v>
      </c>
      <c r="C23" s="66">
        <v>1.0</v>
      </c>
      <c r="D23" s="66">
        <v>1.0</v>
      </c>
      <c r="F23" s="66">
        <v>1.671</v>
      </c>
      <c r="G23" s="66">
        <v>1.375</v>
      </c>
      <c r="H23" s="66">
        <v>0.265</v>
      </c>
      <c r="I23" s="66">
        <v>0.149</v>
      </c>
      <c r="J23" s="66">
        <v>5.57</v>
      </c>
      <c r="K23" s="81">
        <f>average(1.75,1.66,1.66,1.71)</f>
        <v>1.695</v>
      </c>
      <c r="L23" s="82">
        <v>44628.0</v>
      </c>
    </row>
    <row r="24">
      <c r="A24" s="66" t="s">
        <v>179</v>
      </c>
      <c r="B24" s="66">
        <v>2005.0</v>
      </c>
      <c r="C24" s="66">
        <v>3.0</v>
      </c>
      <c r="D24" s="66">
        <v>0.0</v>
      </c>
      <c r="F24" s="66">
        <v>2.067</v>
      </c>
      <c r="G24" s="66">
        <v>0.689</v>
      </c>
      <c r="H24" s="66">
        <v>0.214</v>
      </c>
      <c r="I24" s="66">
        <v>0.066</v>
      </c>
      <c r="J24" s="66">
        <v>3.47</v>
      </c>
      <c r="K24" s="66" t="s">
        <v>58</v>
      </c>
      <c r="L24" s="82">
        <v>44628.0</v>
      </c>
    </row>
    <row r="25">
      <c r="A25" s="66" t="s">
        <v>57</v>
      </c>
      <c r="B25" s="66">
        <v>2377.0</v>
      </c>
      <c r="C25" s="66">
        <v>1.0</v>
      </c>
      <c r="D25" s="66">
        <v>1.0</v>
      </c>
      <c r="E25" s="66" t="s">
        <v>180</v>
      </c>
      <c r="F25" s="66">
        <v>0.337</v>
      </c>
      <c r="G25" s="66">
        <v>0.194</v>
      </c>
      <c r="H25" s="66">
        <v>0.232</v>
      </c>
      <c r="I25" s="66">
        <v>0.11</v>
      </c>
      <c r="J25" s="66">
        <v>4.05</v>
      </c>
      <c r="K25" s="81">
        <f>average(1.66,1.76,1.8,1.81)</f>
        <v>1.7575</v>
      </c>
      <c r="L25" s="82">
        <v>44628.0</v>
      </c>
    </row>
    <row r="26">
      <c r="A26" s="66" t="s">
        <v>57</v>
      </c>
      <c r="B26" s="66">
        <v>2377.0</v>
      </c>
      <c r="C26" s="66">
        <v>1.0</v>
      </c>
      <c r="D26" s="66">
        <v>1.0</v>
      </c>
      <c r="E26" s="66" t="s">
        <v>181</v>
      </c>
      <c r="F26" s="66">
        <v>0.169</v>
      </c>
      <c r="G26" s="66">
        <v>0.094</v>
      </c>
      <c r="H26" s="66">
        <v>0.057</v>
      </c>
      <c r="I26" s="66">
        <v>0.027</v>
      </c>
      <c r="J26" s="66">
        <v>1.83</v>
      </c>
      <c r="K26" s="81">
        <f>average(1.12,1,1.13,1.04)</f>
        <v>1.0725</v>
      </c>
      <c r="L26" s="82">
        <v>44628.0</v>
      </c>
    </row>
    <row r="27">
      <c r="A27" s="66" t="s">
        <v>57</v>
      </c>
      <c r="B27" s="66">
        <v>2354.0</v>
      </c>
      <c r="C27" s="66">
        <v>1.0</v>
      </c>
      <c r="D27" s="66">
        <v>0.0</v>
      </c>
      <c r="F27" s="66">
        <v>0.299</v>
      </c>
      <c r="G27" s="66">
        <v>0.086</v>
      </c>
      <c r="H27" s="66">
        <v>0.044</v>
      </c>
      <c r="I27" s="66">
        <v>0.012</v>
      </c>
      <c r="J27" s="66">
        <v>2.31</v>
      </c>
      <c r="K27" s="81">
        <f>average(0.49,0.45,0.42,0.47)</f>
        <v>0.4575</v>
      </c>
      <c r="L27" s="82">
        <v>44628.0</v>
      </c>
    </row>
    <row r="28">
      <c r="A28" s="66" t="s">
        <v>179</v>
      </c>
      <c r="B28" s="66">
        <v>2006.0</v>
      </c>
      <c r="C28" s="66">
        <v>3.0</v>
      </c>
      <c r="D28" s="66">
        <v>0.0</v>
      </c>
      <c r="F28" s="66">
        <v>0.55</v>
      </c>
      <c r="G28" s="66">
        <v>0.169</v>
      </c>
      <c r="H28" s="66">
        <v>0.042</v>
      </c>
      <c r="I28" s="66">
        <v>0.012</v>
      </c>
      <c r="J28" s="66">
        <v>1.1</v>
      </c>
      <c r="K28" s="66" t="s">
        <v>58</v>
      </c>
      <c r="L28" s="82">
        <v>44628.0</v>
      </c>
    </row>
    <row r="29">
      <c r="A29" s="66" t="s">
        <v>57</v>
      </c>
      <c r="B29" s="66">
        <v>2377.0</v>
      </c>
      <c r="C29" s="66">
        <v>6.0</v>
      </c>
      <c r="D29" s="66">
        <v>1.0</v>
      </c>
      <c r="F29" s="66">
        <v>0.698</v>
      </c>
      <c r="G29" s="66">
        <v>0.386</v>
      </c>
      <c r="H29" s="66">
        <v>0.155</v>
      </c>
      <c r="I29" s="66">
        <v>0.077</v>
      </c>
      <c r="J29" s="66">
        <v>5.13</v>
      </c>
      <c r="K29" s="81">
        <f>average(1.39,1.43,1.53,1.59)</f>
        <v>1.485</v>
      </c>
      <c r="L29" s="82">
        <v>44628.0</v>
      </c>
    </row>
    <row r="30">
      <c r="A30" s="66" t="s">
        <v>57</v>
      </c>
      <c r="B30" s="66">
        <v>2331.0</v>
      </c>
      <c r="C30" s="66">
        <v>6.0</v>
      </c>
      <c r="D30" s="66">
        <v>1.0</v>
      </c>
      <c r="F30" s="66">
        <v>0.644</v>
      </c>
      <c r="G30" s="66">
        <v>0.366</v>
      </c>
      <c r="H30" s="66">
        <v>0.164</v>
      </c>
      <c r="I30" s="66">
        <v>0.082</v>
      </c>
      <c r="J30" s="66">
        <v>4.53</v>
      </c>
      <c r="K30" s="81">
        <f>average(1.26,1.38,1.33,1.35)</f>
        <v>1.33</v>
      </c>
      <c r="L30" s="82">
        <v>44628.0</v>
      </c>
    </row>
    <row r="31">
      <c r="A31" s="66" t="s">
        <v>57</v>
      </c>
      <c r="B31" s="66">
        <v>2376.0</v>
      </c>
      <c r="C31" s="66">
        <v>3.0</v>
      </c>
      <c r="D31" s="66">
        <v>1.0</v>
      </c>
      <c r="F31" s="66">
        <v>2.035</v>
      </c>
      <c r="G31" s="66">
        <v>1.059</v>
      </c>
      <c r="H31" s="66">
        <v>0.243</v>
      </c>
      <c r="I31" s="66">
        <v>0.122</v>
      </c>
      <c r="J31" s="66">
        <v>5.16</v>
      </c>
      <c r="K31" s="81">
        <f>average(1.57,1.58,1.59,1.61)</f>
        <v>1.5875</v>
      </c>
      <c r="L31" s="82">
        <v>44628.0</v>
      </c>
    </row>
    <row r="32">
      <c r="A32" s="66" t="s">
        <v>57</v>
      </c>
      <c r="B32" s="66">
        <v>2377.0</v>
      </c>
      <c r="C32" s="66">
        <v>3.0</v>
      </c>
      <c r="D32" s="66">
        <v>2.0</v>
      </c>
      <c r="F32" s="66">
        <v>2.334</v>
      </c>
      <c r="G32" s="66">
        <v>1.341</v>
      </c>
      <c r="H32" s="66">
        <v>0.847</v>
      </c>
      <c r="I32" s="66">
        <v>0.435</v>
      </c>
      <c r="J32" s="66">
        <v>12.85</v>
      </c>
      <c r="K32" s="81">
        <f>average(2.08,2.25,2.57,2.19)</f>
        <v>2.2725</v>
      </c>
      <c r="L32" s="82">
        <v>44628.0</v>
      </c>
    </row>
    <row r="33">
      <c r="A33" s="66" t="s">
        <v>57</v>
      </c>
      <c r="B33" s="66">
        <v>2377.0</v>
      </c>
      <c r="C33" s="66">
        <v>2.0</v>
      </c>
      <c r="D33" s="66">
        <v>2.0</v>
      </c>
      <c r="F33" s="66">
        <v>1.143</v>
      </c>
      <c r="G33" s="66">
        <v>0.696</v>
      </c>
      <c r="H33" s="66">
        <v>0.288</v>
      </c>
      <c r="I33" s="66">
        <v>0.15</v>
      </c>
      <c r="J33" s="66">
        <v>3.81</v>
      </c>
      <c r="K33" s="81">
        <f>average(1.83,1.6,1.64,1.9)</f>
        <v>1.7425</v>
      </c>
      <c r="L33" s="82">
        <v>44628.0</v>
      </c>
    </row>
    <row r="34">
      <c r="A34" s="66" t="s">
        <v>57</v>
      </c>
      <c r="B34" s="66">
        <v>2345.0</v>
      </c>
      <c r="C34" s="66">
        <v>6.0</v>
      </c>
      <c r="D34" s="66">
        <v>1.0</v>
      </c>
      <c r="F34" s="66">
        <v>2.864</v>
      </c>
      <c r="G34" s="66">
        <v>1.609</v>
      </c>
      <c r="H34" s="66">
        <v>0.706</v>
      </c>
      <c r="I34" s="66">
        <v>0.334</v>
      </c>
      <c r="J34" s="66">
        <v>10.24</v>
      </c>
      <c r="K34" s="81">
        <f>average(1.96,1.81,1.86,2.03)</f>
        <v>1.915</v>
      </c>
      <c r="L34" s="82">
        <v>44628.0</v>
      </c>
    </row>
    <row r="35">
      <c r="A35" s="66" t="s">
        <v>57</v>
      </c>
      <c r="B35" s="66">
        <v>2354.0</v>
      </c>
      <c r="C35" s="66">
        <v>4.0</v>
      </c>
      <c r="D35" s="66">
        <v>2.0</v>
      </c>
      <c r="F35" s="66">
        <v>0.364</v>
      </c>
      <c r="G35" s="66">
        <v>0.218</v>
      </c>
      <c r="H35" s="66">
        <v>0.192</v>
      </c>
      <c r="I35" s="66">
        <v>0.094</v>
      </c>
      <c r="J35" s="66">
        <v>3.38</v>
      </c>
      <c r="K35" s="81">
        <f>average(1.58,1.69,1.58,1.55)</f>
        <v>1.6</v>
      </c>
      <c r="L35" s="82">
        <v>44628.0</v>
      </c>
    </row>
    <row r="36">
      <c r="A36" s="66" t="s">
        <v>57</v>
      </c>
      <c r="B36" s="66">
        <v>2301.0</v>
      </c>
      <c r="C36" s="66">
        <v>5.0</v>
      </c>
      <c r="D36" s="66">
        <v>1.0</v>
      </c>
      <c r="F36" s="66">
        <v>0.99</v>
      </c>
      <c r="G36" s="66">
        <v>0.559</v>
      </c>
      <c r="H36" s="66">
        <v>0.097</v>
      </c>
      <c r="I36" s="66">
        <v>0.047</v>
      </c>
      <c r="J36" s="66">
        <v>1.99</v>
      </c>
      <c r="K36" s="81">
        <f>average(1.52,1.45,1.37,1.42)</f>
        <v>1.44</v>
      </c>
      <c r="L36" s="82">
        <v>44628.0</v>
      </c>
    </row>
    <row r="37">
      <c r="A37" s="66" t="s">
        <v>179</v>
      </c>
      <c r="B37" s="66">
        <v>2005.0</v>
      </c>
      <c r="C37" s="66">
        <v>1.0</v>
      </c>
      <c r="D37" s="66">
        <v>0.0</v>
      </c>
      <c r="F37" s="66">
        <v>0.69</v>
      </c>
      <c r="G37" s="66">
        <v>0.21</v>
      </c>
      <c r="H37" s="66">
        <v>0.081</v>
      </c>
      <c r="I37" s="66">
        <v>0.024</v>
      </c>
      <c r="J37" s="66">
        <v>2.51</v>
      </c>
      <c r="K37" s="66" t="s">
        <v>58</v>
      </c>
      <c r="L37" s="82">
        <v>44628.0</v>
      </c>
    </row>
    <row r="38">
      <c r="A38" s="66" t="s">
        <v>57</v>
      </c>
      <c r="B38" s="66">
        <v>2377.0</v>
      </c>
      <c r="C38" s="66">
        <v>4.0</v>
      </c>
      <c r="D38" s="66">
        <v>0.0</v>
      </c>
      <c r="E38" s="66" t="s">
        <v>180</v>
      </c>
      <c r="F38" s="66">
        <v>1.419</v>
      </c>
      <c r="G38" s="66">
        <v>0.385</v>
      </c>
      <c r="H38" s="66">
        <v>0.087</v>
      </c>
      <c r="I38" s="66">
        <v>0.027</v>
      </c>
      <c r="J38" s="66">
        <v>2.91</v>
      </c>
      <c r="K38" s="81">
        <f>average(1.12,1.02,1.04,0.97)</f>
        <v>1.0375</v>
      </c>
      <c r="L38" s="82">
        <v>44628.0</v>
      </c>
    </row>
    <row r="39">
      <c r="A39" s="66" t="s">
        <v>57</v>
      </c>
      <c r="B39" s="66">
        <v>2331.0</v>
      </c>
      <c r="C39" s="66">
        <v>4.0</v>
      </c>
      <c r="D39" s="66">
        <v>1.0</v>
      </c>
      <c r="F39" s="66">
        <v>1.716</v>
      </c>
      <c r="G39" s="66">
        <v>0.956</v>
      </c>
      <c r="H39" s="66">
        <v>0.288</v>
      </c>
      <c r="I39" s="66">
        <v>0.141</v>
      </c>
      <c r="J39" s="66">
        <v>4.95</v>
      </c>
      <c r="K39" s="81">
        <f>average(1.51,1.54,1.67,1.45)</f>
        <v>1.5425</v>
      </c>
      <c r="L39" s="82">
        <v>44628.0</v>
      </c>
    </row>
    <row r="40">
      <c r="A40" s="66" t="s">
        <v>57</v>
      </c>
      <c r="B40" s="66">
        <v>2352.0</v>
      </c>
      <c r="C40" s="66">
        <v>2.0</v>
      </c>
      <c r="D40" s="66">
        <v>1.0</v>
      </c>
      <c r="F40" s="66">
        <v>1.452</v>
      </c>
      <c r="G40" s="66">
        <v>0.904</v>
      </c>
      <c r="H40" s="66">
        <v>0.508</v>
      </c>
      <c r="I40" s="66">
        <v>0.298</v>
      </c>
      <c r="J40" s="66">
        <v>13.53</v>
      </c>
      <c r="K40" s="81">
        <f>average(1.88,1.97,1.9,1.91)</f>
        <v>1.915</v>
      </c>
      <c r="L40" s="82">
        <v>44628.0</v>
      </c>
    </row>
    <row r="41">
      <c r="A41" s="66" t="s">
        <v>57</v>
      </c>
      <c r="B41" s="66">
        <v>2345.0</v>
      </c>
      <c r="C41" s="66">
        <v>4.0</v>
      </c>
      <c r="D41" s="66">
        <v>1.0</v>
      </c>
      <c r="F41" s="66">
        <v>1.958</v>
      </c>
      <c r="G41" s="66">
        <v>1.07</v>
      </c>
      <c r="H41" s="66">
        <v>0.288</v>
      </c>
      <c r="I41" s="66">
        <v>0.144</v>
      </c>
      <c r="J41" s="66">
        <v>5.96</v>
      </c>
      <c r="K41" s="81">
        <f>average(1.43,1.41,1.5,1.51)</f>
        <v>1.4625</v>
      </c>
      <c r="L41" s="82">
        <v>44628.0</v>
      </c>
    </row>
    <row r="42">
      <c r="A42" s="66" t="s">
        <v>57</v>
      </c>
      <c r="B42" s="66">
        <v>2352.0</v>
      </c>
      <c r="C42" s="66">
        <v>3.0</v>
      </c>
      <c r="D42" s="66">
        <v>1.0</v>
      </c>
      <c r="F42" s="66">
        <v>1.661</v>
      </c>
      <c r="G42" s="66">
        <v>1.08</v>
      </c>
      <c r="H42" s="66">
        <v>0.463</v>
      </c>
      <c r="I42" s="66">
        <v>0.257</v>
      </c>
      <c r="J42" s="66">
        <v>10.7</v>
      </c>
      <c r="K42" s="81">
        <f>average(1.74,1.73,1.69,1.7)</f>
        <v>1.715</v>
      </c>
      <c r="L42" s="82">
        <v>44628.0</v>
      </c>
    </row>
    <row r="43">
      <c r="A43" s="66" t="s">
        <v>179</v>
      </c>
      <c r="B43" s="66">
        <v>2005.0</v>
      </c>
      <c r="C43" s="66">
        <v>4.0</v>
      </c>
      <c r="D43" s="66">
        <v>0.0</v>
      </c>
      <c r="F43" s="66">
        <v>0.828</v>
      </c>
      <c r="G43" s="66">
        <v>0.251</v>
      </c>
      <c r="H43" s="66">
        <v>0.103</v>
      </c>
      <c r="I43" s="66">
        <v>0.029</v>
      </c>
      <c r="J43" s="66">
        <v>2.26</v>
      </c>
      <c r="K43" s="66" t="s">
        <v>58</v>
      </c>
      <c r="L43" s="82">
        <v>44628.0</v>
      </c>
    </row>
    <row r="44">
      <c r="A44" s="66" t="s">
        <v>57</v>
      </c>
      <c r="B44" s="66">
        <v>2345.0</v>
      </c>
      <c r="C44" s="66">
        <v>3.0</v>
      </c>
      <c r="D44" s="66">
        <v>1.0</v>
      </c>
      <c r="F44" s="66">
        <v>1.903</v>
      </c>
      <c r="G44" s="66">
        <v>1.068</v>
      </c>
      <c r="H44" s="66">
        <v>0.446</v>
      </c>
      <c r="I44" s="66">
        <v>0.221</v>
      </c>
      <c r="J44" s="66">
        <v>6.18</v>
      </c>
      <c r="K44" s="81">
        <f>average(1.6,1.63,1.78,2.03)</f>
        <v>1.76</v>
      </c>
      <c r="L44" s="82">
        <v>44628.0</v>
      </c>
    </row>
    <row r="45">
      <c r="A45" s="66" t="s">
        <v>57</v>
      </c>
      <c r="B45" s="66">
        <v>2354.0</v>
      </c>
      <c r="C45" s="66">
        <v>3.0</v>
      </c>
      <c r="D45" s="66">
        <v>1.0</v>
      </c>
      <c r="F45" s="66">
        <v>1.619</v>
      </c>
      <c r="G45" s="66">
        <v>0.982</v>
      </c>
      <c r="H45" s="66">
        <v>0.472</v>
      </c>
      <c r="I45" s="66">
        <v>0.244</v>
      </c>
      <c r="J45" s="66">
        <v>7.82</v>
      </c>
      <c r="K45" s="81">
        <f>average(2.32,2.24,2.51,2.48)</f>
        <v>2.3875</v>
      </c>
      <c r="L45" s="82">
        <v>44628.0</v>
      </c>
    </row>
    <row r="46">
      <c r="A46" s="66" t="s">
        <v>57</v>
      </c>
      <c r="B46" s="66">
        <v>2331.0</v>
      </c>
      <c r="C46" s="66">
        <v>2.0</v>
      </c>
      <c r="D46" s="66">
        <v>1.0</v>
      </c>
      <c r="F46" s="66">
        <v>1.85</v>
      </c>
      <c r="G46" s="66">
        <v>1.057</v>
      </c>
      <c r="H46" s="66">
        <v>0.384</v>
      </c>
      <c r="I46" s="66">
        <v>0.193</v>
      </c>
      <c r="J46" s="66">
        <v>5.68</v>
      </c>
      <c r="K46" s="81">
        <f>average(1.8,1.8,1.86,1.85)</f>
        <v>1.8275</v>
      </c>
      <c r="L46" s="82">
        <v>44628.0</v>
      </c>
    </row>
    <row r="47">
      <c r="A47" s="66" t="s">
        <v>57</v>
      </c>
      <c r="B47" s="66">
        <v>2377.0</v>
      </c>
      <c r="C47" s="66">
        <v>3.0</v>
      </c>
      <c r="D47" s="66">
        <v>1.0</v>
      </c>
      <c r="F47" s="66">
        <v>1.396</v>
      </c>
      <c r="G47" s="66">
        <v>0.77</v>
      </c>
      <c r="H47" s="66">
        <v>0.394</v>
      </c>
      <c r="I47" s="66">
        <v>0.176</v>
      </c>
      <c r="J47" s="66">
        <v>7.43</v>
      </c>
      <c r="K47" s="81">
        <f>average(2.05,1.98,1.98,2.02)</f>
        <v>2.0075</v>
      </c>
      <c r="L47" s="82">
        <v>44628.0</v>
      </c>
    </row>
    <row r="48">
      <c r="A48" s="66" t="s">
        <v>179</v>
      </c>
      <c r="B48" s="66">
        <v>2004.0</v>
      </c>
      <c r="C48" s="66">
        <v>2.0</v>
      </c>
      <c r="D48" s="66">
        <v>0.0</v>
      </c>
      <c r="F48" s="66">
        <v>0.238</v>
      </c>
      <c r="G48" s="66">
        <v>0.045</v>
      </c>
      <c r="H48" s="66">
        <v>0.074</v>
      </c>
      <c r="I48" s="66">
        <v>0.013</v>
      </c>
      <c r="J48" s="66">
        <v>1.64</v>
      </c>
      <c r="K48" s="66" t="s">
        <v>58</v>
      </c>
      <c r="L48" s="82">
        <v>44628.0</v>
      </c>
    </row>
    <row r="49">
      <c r="A49" s="66" t="s">
        <v>57</v>
      </c>
      <c r="B49" s="66">
        <v>2377.0</v>
      </c>
      <c r="C49" s="66">
        <v>4.0</v>
      </c>
      <c r="D49" s="66">
        <v>1.0</v>
      </c>
      <c r="F49" s="66">
        <v>1.797</v>
      </c>
      <c r="G49" s="66">
        <v>1.001</v>
      </c>
      <c r="H49" s="66">
        <v>0.719</v>
      </c>
      <c r="I49" s="66">
        <v>0.34</v>
      </c>
      <c r="J49" s="66">
        <v>8.71</v>
      </c>
      <c r="K49" s="81">
        <f>average(2.08,2.26,2.34,2.1)</f>
        <v>2.195</v>
      </c>
      <c r="L49" s="82">
        <v>44628.0</v>
      </c>
    </row>
    <row r="50">
      <c r="A50" s="66" t="s">
        <v>57</v>
      </c>
      <c r="B50" s="66">
        <v>2301.0</v>
      </c>
      <c r="C50" s="66">
        <v>6.0</v>
      </c>
      <c r="D50" s="66">
        <v>1.0</v>
      </c>
      <c r="F50" s="66">
        <v>3.784</v>
      </c>
      <c r="G50" s="66">
        <v>2.031</v>
      </c>
      <c r="H50" s="66">
        <v>0.572</v>
      </c>
      <c r="I50" s="66">
        <v>0.283</v>
      </c>
      <c r="J50" s="66">
        <v>11.03</v>
      </c>
      <c r="K50" s="81">
        <f>average(1.93,2.02,2.01,2.01)</f>
        <v>1.9925</v>
      </c>
      <c r="L50" s="82">
        <v>44628.0</v>
      </c>
    </row>
    <row r="51">
      <c r="A51" s="66" t="s">
        <v>179</v>
      </c>
      <c r="B51" s="66">
        <v>2006.0</v>
      </c>
      <c r="C51" s="66">
        <v>4.0</v>
      </c>
      <c r="D51" s="66">
        <v>0.0</v>
      </c>
      <c r="F51" s="66">
        <v>0.244</v>
      </c>
      <c r="G51" s="66">
        <v>0.079</v>
      </c>
      <c r="H51" s="66">
        <v>0.043</v>
      </c>
      <c r="I51" s="66">
        <v>0.012</v>
      </c>
      <c r="J51" s="66">
        <v>1.26</v>
      </c>
      <c r="K51" s="66" t="s">
        <v>58</v>
      </c>
      <c r="L51" s="82">
        <v>44628.0</v>
      </c>
    </row>
    <row r="52">
      <c r="A52" s="66" t="s">
        <v>57</v>
      </c>
      <c r="B52" s="66">
        <v>2331.0</v>
      </c>
      <c r="C52" s="66">
        <v>1.0</v>
      </c>
      <c r="D52" s="66">
        <v>1.0</v>
      </c>
      <c r="F52" s="66">
        <v>1.427</v>
      </c>
      <c r="G52" s="66">
        <v>0.844</v>
      </c>
      <c r="H52" s="66">
        <v>0.678</v>
      </c>
      <c r="I52" s="66">
        <v>0.369</v>
      </c>
      <c r="J52" s="66">
        <v>10.76</v>
      </c>
      <c r="K52" s="81">
        <f>average(2.15,2.21,2.19,1.99)</f>
        <v>2.135</v>
      </c>
      <c r="L52" s="82">
        <v>44628.0</v>
      </c>
    </row>
    <row r="53">
      <c r="A53" s="66" t="s">
        <v>179</v>
      </c>
      <c r="B53" s="66">
        <v>2006.0</v>
      </c>
      <c r="C53" s="66">
        <v>2.0</v>
      </c>
      <c r="D53" s="66">
        <v>0.0</v>
      </c>
      <c r="F53" s="66">
        <v>0.26</v>
      </c>
      <c r="G53" s="66">
        <v>0.08</v>
      </c>
      <c r="H53" s="66">
        <v>0.021</v>
      </c>
      <c r="I53" s="66">
        <v>0.006</v>
      </c>
      <c r="J53" s="66">
        <v>0.63</v>
      </c>
      <c r="K53" s="66" t="s">
        <v>58</v>
      </c>
      <c r="L53" s="82">
        <v>44628.0</v>
      </c>
    </row>
    <row r="54">
      <c r="A54" s="66" t="s">
        <v>57</v>
      </c>
      <c r="B54" s="66">
        <v>2377.0</v>
      </c>
      <c r="C54" s="66">
        <v>2.0</v>
      </c>
      <c r="D54" s="66">
        <v>1.0</v>
      </c>
      <c r="F54" s="66">
        <v>1.137</v>
      </c>
      <c r="G54" s="66">
        <v>0.641</v>
      </c>
      <c r="H54" s="66">
        <v>0.621</v>
      </c>
      <c r="I54" s="66">
        <v>0.297</v>
      </c>
      <c r="J54" s="66">
        <v>9.18</v>
      </c>
      <c r="K54" s="81">
        <f>average(2.26,2.39,2.3,2.29)</f>
        <v>2.31</v>
      </c>
      <c r="L54" s="82">
        <v>44628.0</v>
      </c>
    </row>
    <row r="55">
      <c r="A55" s="66" t="s">
        <v>57</v>
      </c>
      <c r="B55" s="66">
        <v>2380.0</v>
      </c>
      <c r="C55" s="66">
        <v>2.0</v>
      </c>
      <c r="D55" s="66">
        <v>1.0</v>
      </c>
      <c r="E55" s="66" t="s">
        <v>181</v>
      </c>
      <c r="F55" s="66">
        <v>1.592</v>
      </c>
      <c r="G55" s="66">
        <v>0.979</v>
      </c>
      <c r="H55" s="66">
        <v>0.224</v>
      </c>
      <c r="I55" s="66">
        <v>0.13</v>
      </c>
      <c r="J55" s="66">
        <v>4.02</v>
      </c>
      <c r="K55" s="81">
        <f>average(1.41,1.43,1.6,1.53)</f>
        <v>1.4925</v>
      </c>
      <c r="L55" s="82">
        <v>44628.0</v>
      </c>
    </row>
    <row r="56">
      <c r="A56" s="66" t="s">
        <v>57</v>
      </c>
      <c r="B56" s="66">
        <v>2301.0</v>
      </c>
      <c r="C56" s="66">
        <v>2.0</v>
      </c>
      <c r="D56" s="66">
        <v>1.0</v>
      </c>
      <c r="F56" s="66">
        <v>0.588</v>
      </c>
      <c r="G56" s="66">
        <v>0.313</v>
      </c>
      <c r="H56" s="66">
        <v>0.997</v>
      </c>
      <c r="I56" s="66">
        <v>0.045</v>
      </c>
      <c r="J56" s="66">
        <v>2.65</v>
      </c>
      <c r="K56" s="81">
        <f>average(1.21,1.09,1.07,1.22)</f>
        <v>1.1475</v>
      </c>
      <c r="L56" s="82">
        <v>44628.0</v>
      </c>
    </row>
    <row r="57">
      <c r="A57" s="66" t="s">
        <v>57</v>
      </c>
      <c r="B57" s="66">
        <v>2331.0</v>
      </c>
      <c r="C57" s="66">
        <v>3.0</v>
      </c>
      <c r="D57" s="66">
        <v>1.0</v>
      </c>
      <c r="F57" s="66">
        <v>1.147</v>
      </c>
      <c r="G57" s="66">
        <v>0.679</v>
      </c>
      <c r="H57" s="66">
        <v>0.33</v>
      </c>
      <c r="I57" s="66">
        <v>0.165</v>
      </c>
      <c r="J57" s="66">
        <v>6.48</v>
      </c>
      <c r="K57" s="81">
        <f>average(1.71,1.68,1.7,1.75)</f>
        <v>1.71</v>
      </c>
      <c r="L57" s="82">
        <v>44628.0</v>
      </c>
    </row>
    <row r="58">
      <c r="A58" s="66" t="s">
        <v>57</v>
      </c>
      <c r="B58" s="66">
        <v>2377.0</v>
      </c>
      <c r="C58" s="66">
        <v>1.0</v>
      </c>
      <c r="D58" s="66">
        <v>1.0</v>
      </c>
      <c r="F58" s="66">
        <v>2.559</v>
      </c>
      <c r="G58" s="66">
        <v>1.405</v>
      </c>
      <c r="H58" s="66">
        <v>0.631</v>
      </c>
      <c r="I58" s="66">
        <v>0.317</v>
      </c>
      <c r="J58" s="66">
        <v>9.61</v>
      </c>
      <c r="K58" s="81">
        <f>average(2.24,2.36,2.16,2.37)</f>
        <v>2.2825</v>
      </c>
      <c r="L58" s="82">
        <v>44628.0</v>
      </c>
    </row>
    <row r="59">
      <c r="A59" s="66" t="s">
        <v>57</v>
      </c>
      <c r="B59" s="66">
        <v>2377.0</v>
      </c>
      <c r="C59" s="66">
        <v>3.0</v>
      </c>
      <c r="D59" s="66">
        <v>1.0</v>
      </c>
      <c r="F59" s="66">
        <v>0.43</v>
      </c>
      <c r="G59" s="66">
        <v>0.253</v>
      </c>
      <c r="H59" s="66">
        <v>0.166</v>
      </c>
      <c r="I59" s="66">
        <v>0.086</v>
      </c>
      <c r="J59" s="66">
        <v>4.26</v>
      </c>
      <c r="K59" s="81">
        <f>average(1.31,1.51,1.36,1.31)</f>
        <v>1.3725</v>
      </c>
      <c r="L59" s="82">
        <v>44628.0</v>
      </c>
    </row>
    <row r="60">
      <c r="A60" s="66" t="s">
        <v>57</v>
      </c>
      <c r="B60" s="66">
        <v>2301.0</v>
      </c>
      <c r="C60" s="66">
        <v>4.0</v>
      </c>
      <c r="D60" s="66">
        <v>1.0</v>
      </c>
      <c r="F60" s="66">
        <v>2.097</v>
      </c>
      <c r="G60" s="66">
        <v>1.164</v>
      </c>
      <c r="H60" s="66">
        <v>0.186</v>
      </c>
      <c r="I60" s="66">
        <v>0.091</v>
      </c>
      <c r="J60" s="66">
        <v>4.99</v>
      </c>
      <c r="K60" s="81">
        <f>average(1.43,1.35,1.25,1.18)</f>
        <v>1.3025</v>
      </c>
      <c r="L60" s="82">
        <v>44628.0</v>
      </c>
    </row>
    <row r="61">
      <c r="A61" s="66" t="s">
        <v>179</v>
      </c>
      <c r="B61" s="66">
        <v>2004.0</v>
      </c>
      <c r="C61" s="66">
        <v>1.0</v>
      </c>
      <c r="D61" s="66">
        <v>0.0</v>
      </c>
      <c r="F61" s="66">
        <v>0.205</v>
      </c>
      <c r="G61" s="66">
        <v>0.065</v>
      </c>
      <c r="H61" s="66">
        <v>0.035</v>
      </c>
      <c r="I61" s="66">
        <v>0.01</v>
      </c>
      <c r="J61" s="66">
        <v>1.47</v>
      </c>
      <c r="K61" s="66" t="s">
        <v>58</v>
      </c>
      <c r="L61" s="82">
        <v>44628.0</v>
      </c>
    </row>
    <row r="62">
      <c r="A62" s="66" t="s">
        <v>57</v>
      </c>
      <c r="B62" s="66">
        <v>2345.0</v>
      </c>
      <c r="C62" s="66">
        <v>5.0</v>
      </c>
      <c r="D62" s="66">
        <v>1.0</v>
      </c>
      <c r="F62" s="66">
        <v>1.742</v>
      </c>
      <c r="G62" s="66">
        <v>0.993</v>
      </c>
      <c r="H62" s="66">
        <v>0.462</v>
      </c>
      <c r="I62" s="66">
        <v>0.216</v>
      </c>
      <c r="J62" s="66">
        <v>7.98</v>
      </c>
      <c r="K62" s="81">
        <f>average(1.62,1.93,1.87,1.53)</f>
        <v>1.7375</v>
      </c>
      <c r="L62" s="82">
        <v>44628.0</v>
      </c>
    </row>
    <row r="63">
      <c r="A63" s="66" t="s">
        <v>57</v>
      </c>
      <c r="B63" s="66">
        <v>2377.0</v>
      </c>
      <c r="C63" s="66">
        <v>5.0</v>
      </c>
      <c r="D63" s="66">
        <v>1.0</v>
      </c>
      <c r="F63" s="66">
        <v>0.735</v>
      </c>
      <c r="G63" s="66">
        <v>0.409</v>
      </c>
      <c r="H63" s="66">
        <v>0.178</v>
      </c>
      <c r="I63" s="66">
        <v>0.089</v>
      </c>
      <c r="J63" s="66">
        <v>5.89</v>
      </c>
      <c r="K63" s="81">
        <f>average(1.57,1.63,1.36,1.44)</f>
        <v>1.5</v>
      </c>
      <c r="L63" s="82">
        <v>44628.0</v>
      </c>
    </row>
    <row r="64">
      <c r="A64" s="66" t="s">
        <v>179</v>
      </c>
      <c r="B64" s="66">
        <v>2005.0</v>
      </c>
      <c r="C64" s="66">
        <v>2.0</v>
      </c>
      <c r="D64" s="66">
        <v>0.0</v>
      </c>
      <c r="F64" s="66">
        <v>1.385</v>
      </c>
      <c r="G64" s="66">
        <v>0.435</v>
      </c>
      <c r="H64" s="66">
        <v>0.144</v>
      </c>
      <c r="I64" s="66">
        <v>0.042</v>
      </c>
      <c r="J64" s="66">
        <v>2.85</v>
      </c>
      <c r="K64" s="66" t="s">
        <v>58</v>
      </c>
      <c r="L64" s="82">
        <v>44628.0</v>
      </c>
    </row>
    <row r="65">
      <c r="A65" s="66" t="s">
        <v>57</v>
      </c>
      <c r="B65" s="66">
        <v>2376.0</v>
      </c>
      <c r="C65" s="66">
        <v>4.0</v>
      </c>
      <c r="D65" s="66">
        <v>1.0</v>
      </c>
      <c r="F65" s="66">
        <v>1.842</v>
      </c>
      <c r="G65" s="66">
        <v>0.388</v>
      </c>
      <c r="H65" s="66">
        <v>0.24</v>
      </c>
      <c r="I65" s="66">
        <v>0.027</v>
      </c>
      <c r="J65" s="66">
        <v>1.41</v>
      </c>
      <c r="K65" s="81">
        <f>average(1.16,1.13,1.14,1.18)</f>
        <v>1.1525</v>
      </c>
      <c r="L65" s="82">
        <v>44628.0</v>
      </c>
    </row>
    <row r="66">
      <c r="A66" s="66" t="s">
        <v>57</v>
      </c>
      <c r="B66" s="66">
        <v>2331.0</v>
      </c>
      <c r="C66" s="66">
        <v>5.0</v>
      </c>
      <c r="D66" s="66">
        <v>1.0</v>
      </c>
      <c r="F66" s="66">
        <v>1.105</v>
      </c>
      <c r="G66" s="66">
        <v>0.584</v>
      </c>
      <c r="H66" s="66">
        <v>0.246</v>
      </c>
      <c r="I66" s="66">
        <v>0.125</v>
      </c>
      <c r="J66" s="66">
        <v>4.23</v>
      </c>
      <c r="K66" s="81">
        <f>average(1.44,1.55,1.66,1.48)</f>
        <v>1.5325</v>
      </c>
      <c r="L66" s="82">
        <v>44628.0</v>
      </c>
    </row>
    <row r="67">
      <c r="A67" s="66" t="s">
        <v>57</v>
      </c>
      <c r="B67" s="66">
        <v>2377.0</v>
      </c>
      <c r="C67" s="66">
        <v>4.0</v>
      </c>
      <c r="D67" s="66">
        <v>0.0</v>
      </c>
      <c r="E67" s="66" t="s">
        <v>181</v>
      </c>
      <c r="F67" s="66">
        <v>0.232</v>
      </c>
      <c r="G67" s="66">
        <v>0.065</v>
      </c>
      <c r="H67" s="66">
        <v>0.032</v>
      </c>
      <c r="I67" s="66">
        <v>0.009</v>
      </c>
      <c r="J67" s="66">
        <v>2.22</v>
      </c>
      <c r="K67" s="81">
        <f>average(0.66,0.69,0.55,0.72)</f>
        <v>0.655</v>
      </c>
      <c r="L67" s="82">
        <v>44628.0</v>
      </c>
    </row>
    <row r="68">
      <c r="A68" s="66" t="s">
        <v>57</v>
      </c>
      <c r="B68" s="66">
        <v>2301.0</v>
      </c>
      <c r="C68" s="66">
        <v>1.0</v>
      </c>
      <c r="D68" s="66">
        <v>1.0</v>
      </c>
      <c r="F68" s="66">
        <v>2.02</v>
      </c>
      <c r="G68" s="66">
        <v>1.133</v>
      </c>
      <c r="H68" s="66">
        <v>0.285</v>
      </c>
      <c r="I68" s="66">
        <v>0.143</v>
      </c>
      <c r="J68" s="66">
        <v>7.49</v>
      </c>
      <c r="K68" s="81">
        <f>average(1.69,1.54,1.5,1.59)</f>
        <v>1.58</v>
      </c>
      <c r="L68" s="82">
        <v>44628.0</v>
      </c>
    </row>
    <row r="69">
      <c r="A69" s="66" t="s">
        <v>57</v>
      </c>
      <c r="B69" s="66">
        <v>2377.0</v>
      </c>
      <c r="C69" s="66">
        <v>4.0</v>
      </c>
      <c r="D69" s="66">
        <v>1.0</v>
      </c>
      <c r="E69" s="66" t="s">
        <v>180</v>
      </c>
      <c r="F69" s="66">
        <v>0.491</v>
      </c>
      <c r="G69" s="66">
        <v>0.307</v>
      </c>
      <c r="H69" s="66">
        <v>0.061</v>
      </c>
      <c r="I69" s="66">
        <v>0.032</v>
      </c>
      <c r="J69" s="66">
        <v>1.95</v>
      </c>
      <c r="K69" s="81">
        <f>average(1.48,1.5,1.48,1.53)</f>
        <v>1.4975</v>
      </c>
      <c r="L69" s="82">
        <v>44628.0</v>
      </c>
    </row>
    <row r="70">
      <c r="A70" s="66" t="s">
        <v>57</v>
      </c>
      <c r="B70" s="66">
        <v>2380.0</v>
      </c>
      <c r="C70" s="66">
        <v>1.0</v>
      </c>
      <c r="D70" s="66">
        <v>1.0</v>
      </c>
      <c r="E70" s="66" t="s">
        <v>181</v>
      </c>
      <c r="F70" s="66">
        <v>1.202</v>
      </c>
      <c r="G70" s="66">
        <v>0.738</v>
      </c>
      <c r="H70" s="66">
        <v>0.453</v>
      </c>
      <c r="I70" s="66">
        <v>0.256</v>
      </c>
      <c r="J70" s="66">
        <v>6.86</v>
      </c>
      <c r="K70" s="81">
        <f>average(1.9,1.81,1.7,2.1)</f>
        <v>1.8775</v>
      </c>
      <c r="L70" s="82">
        <v>44628.0</v>
      </c>
    </row>
    <row r="71">
      <c r="A71" s="66" t="s">
        <v>57</v>
      </c>
      <c r="B71" s="66">
        <v>2377.0</v>
      </c>
      <c r="C71" s="66">
        <v>2.0</v>
      </c>
      <c r="D71" s="66">
        <v>1.0</v>
      </c>
      <c r="F71" s="66">
        <v>0.086</v>
      </c>
      <c r="G71" s="66">
        <v>0.056</v>
      </c>
      <c r="H71" s="66">
        <v>0.13</v>
      </c>
      <c r="I71" s="66">
        <v>0.068</v>
      </c>
      <c r="J71" s="66">
        <v>2.65</v>
      </c>
      <c r="K71" s="81">
        <f>average(2.49,2.5,2.51,2.51)</f>
        <v>2.5025</v>
      </c>
      <c r="L71" s="82">
        <v>44628.0</v>
      </c>
    </row>
    <row r="72">
      <c r="A72" s="66" t="s">
        <v>57</v>
      </c>
      <c r="B72" s="66">
        <v>2354.0</v>
      </c>
      <c r="C72" s="66">
        <v>2.0</v>
      </c>
      <c r="D72" s="66">
        <v>0.0</v>
      </c>
      <c r="F72" s="66">
        <v>0.402</v>
      </c>
      <c r="G72" s="66">
        <v>0.111</v>
      </c>
      <c r="H72" s="66">
        <v>0.035</v>
      </c>
      <c r="I72" s="66">
        <v>0.01</v>
      </c>
      <c r="J72" s="66">
        <v>1.64</v>
      </c>
      <c r="K72" s="81">
        <f>average(0.75,0.54,0.69,0.7)</f>
        <v>0.67</v>
      </c>
      <c r="L72" s="82">
        <v>44628.0</v>
      </c>
    </row>
    <row r="73">
      <c r="A73" s="66" t="s">
        <v>179</v>
      </c>
      <c r="B73" s="66">
        <v>2006.0</v>
      </c>
      <c r="C73" s="66">
        <v>1.0</v>
      </c>
      <c r="D73" s="66">
        <v>0.0</v>
      </c>
      <c r="F73" s="66">
        <v>0.434</v>
      </c>
      <c r="G73" s="66">
        <v>0.137</v>
      </c>
      <c r="H73" s="66">
        <v>0.025</v>
      </c>
      <c r="I73" s="66">
        <v>0.007</v>
      </c>
      <c r="J73" s="66">
        <v>0.68</v>
      </c>
      <c r="K73" s="66" t="s">
        <v>58</v>
      </c>
      <c r="L73" s="82">
        <v>44628.0</v>
      </c>
    </row>
    <row r="74">
      <c r="A74" s="66" t="s">
        <v>179</v>
      </c>
      <c r="B74" s="66">
        <v>2027.0</v>
      </c>
      <c r="C74" s="66">
        <v>1.0</v>
      </c>
      <c r="D74" s="66">
        <v>0.0</v>
      </c>
      <c r="F74" s="66">
        <v>0.751</v>
      </c>
      <c r="G74" s="66">
        <v>0.31</v>
      </c>
      <c r="H74" s="66">
        <v>0.037</v>
      </c>
      <c r="I74" s="66">
        <v>0.014</v>
      </c>
      <c r="J74" s="66">
        <v>0.96</v>
      </c>
      <c r="K74" s="66" t="s">
        <v>58</v>
      </c>
      <c r="L74" s="82">
        <v>44635.0</v>
      </c>
    </row>
    <row r="75">
      <c r="A75" s="66" t="s">
        <v>57</v>
      </c>
      <c r="B75" s="66">
        <v>2089.0</v>
      </c>
      <c r="C75" s="66">
        <v>3.0</v>
      </c>
      <c r="D75" s="66">
        <v>1.0</v>
      </c>
      <c r="F75" s="66">
        <v>0.86</v>
      </c>
      <c r="G75" s="66">
        <v>0.523</v>
      </c>
      <c r="H75" s="66">
        <v>0.205</v>
      </c>
      <c r="I75" s="66">
        <v>0.115</v>
      </c>
      <c r="J75" s="66">
        <v>4.65</v>
      </c>
      <c r="K75" s="81">
        <f>average(1.27,1.37,1.02,1.23)</f>
        <v>1.2225</v>
      </c>
      <c r="L75" s="82">
        <v>44635.0</v>
      </c>
    </row>
    <row r="76">
      <c r="A76" s="66" t="s">
        <v>57</v>
      </c>
      <c r="B76" s="66">
        <v>2026.0</v>
      </c>
      <c r="C76" s="66">
        <v>3.0</v>
      </c>
      <c r="D76" s="66">
        <v>0.0</v>
      </c>
      <c r="F76" s="66">
        <v>0.689</v>
      </c>
      <c r="G76" s="66">
        <v>0.332</v>
      </c>
      <c r="H76" s="66">
        <v>0.104</v>
      </c>
      <c r="I76" s="66">
        <v>0.046</v>
      </c>
      <c r="J76" s="66">
        <v>2.55</v>
      </c>
      <c r="K76" s="81">
        <f>average(1.03,1.14,1.07,0.98)</f>
        <v>1.055</v>
      </c>
      <c r="L76" s="82">
        <v>44635.0</v>
      </c>
    </row>
    <row r="77">
      <c r="A77" s="66" t="s">
        <v>57</v>
      </c>
      <c r="B77" s="66">
        <v>2303.0</v>
      </c>
      <c r="C77" s="66">
        <v>1.0</v>
      </c>
      <c r="D77" s="66">
        <v>0.0</v>
      </c>
      <c r="E77" s="66" t="s">
        <v>180</v>
      </c>
      <c r="F77" s="66">
        <v>1.798</v>
      </c>
      <c r="G77" s="66">
        <v>0.939</v>
      </c>
      <c r="H77" s="66">
        <v>0.146</v>
      </c>
      <c r="I77" s="66">
        <v>0.066</v>
      </c>
      <c r="J77" s="66">
        <v>4.03</v>
      </c>
      <c r="K77" s="81">
        <f>average(1.25,1.22,1.16,1.24)</f>
        <v>1.2175</v>
      </c>
      <c r="L77" s="82">
        <v>44635.0</v>
      </c>
    </row>
    <row r="78">
      <c r="A78" s="66" t="s">
        <v>179</v>
      </c>
      <c r="B78" s="66">
        <v>2379.0</v>
      </c>
      <c r="C78" s="66">
        <v>1.0</v>
      </c>
      <c r="D78" s="66">
        <v>0.0</v>
      </c>
      <c r="F78" s="66">
        <v>0.569</v>
      </c>
      <c r="G78" s="66">
        <v>0.265</v>
      </c>
      <c r="H78" s="66">
        <v>0.021</v>
      </c>
      <c r="I78" s="66">
        <v>0.009</v>
      </c>
      <c r="J78" s="66">
        <v>0.83</v>
      </c>
      <c r="K78" s="66" t="s">
        <v>58</v>
      </c>
      <c r="L78" s="82">
        <v>44635.0</v>
      </c>
    </row>
    <row r="79">
      <c r="A79" s="66" t="s">
        <v>57</v>
      </c>
      <c r="B79" s="66">
        <v>2377.0</v>
      </c>
      <c r="C79" s="66">
        <v>3.0</v>
      </c>
      <c r="D79" s="66">
        <v>1.0</v>
      </c>
      <c r="F79" s="66">
        <v>0.773</v>
      </c>
      <c r="G79" s="66">
        <v>0.472</v>
      </c>
      <c r="H79" s="66">
        <v>0.116</v>
      </c>
      <c r="I79" s="66">
        <v>0.064</v>
      </c>
      <c r="J79" s="66">
        <v>1.91</v>
      </c>
      <c r="K79" s="81">
        <f>average(1.43,1.39,1.35,1.37)</f>
        <v>1.385</v>
      </c>
      <c r="L79" s="82">
        <v>44635.0</v>
      </c>
    </row>
    <row r="80">
      <c r="A80" s="66" t="s">
        <v>57</v>
      </c>
      <c r="B80" s="66">
        <v>2345.0</v>
      </c>
      <c r="C80" s="66">
        <v>2.0</v>
      </c>
      <c r="D80" s="66">
        <v>0.0</v>
      </c>
      <c r="E80" s="66" t="s">
        <v>181</v>
      </c>
      <c r="F80" s="66">
        <v>0.208</v>
      </c>
      <c r="G80" s="66">
        <v>0.058</v>
      </c>
      <c r="H80" s="66">
        <v>0.019</v>
      </c>
      <c r="I80" s="66">
        <v>0.007</v>
      </c>
      <c r="J80" s="66">
        <v>0.93</v>
      </c>
      <c r="K80" s="66" t="s">
        <v>58</v>
      </c>
      <c r="L80" s="82">
        <v>44635.0</v>
      </c>
    </row>
    <row r="81">
      <c r="A81" s="66" t="s">
        <v>57</v>
      </c>
      <c r="B81" s="66">
        <v>2091.0</v>
      </c>
      <c r="C81" s="66">
        <v>1.0</v>
      </c>
      <c r="D81" s="66">
        <v>1.0</v>
      </c>
      <c r="F81" s="66">
        <v>1.59</v>
      </c>
      <c r="G81" s="66">
        <v>0.953</v>
      </c>
      <c r="H81" s="66">
        <v>0.21</v>
      </c>
      <c r="I81" s="66">
        <v>0.114</v>
      </c>
      <c r="J81" s="66">
        <v>3.49</v>
      </c>
      <c r="K81" s="81">
        <f>average(1.69,1.71,1.73,1.95)</f>
        <v>1.77</v>
      </c>
      <c r="L81" s="82">
        <v>44635.0</v>
      </c>
    </row>
    <row r="82">
      <c r="A82" s="66" t="s">
        <v>57</v>
      </c>
      <c r="B82" s="66">
        <v>2345.0</v>
      </c>
      <c r="C82" s="66">
        <v>1.0</v>
      </c>
      <c r="D82" s="66">
        <v>0.0</v>
      </c>
      <c r="E82" s="66" t="s">
        <v>180</v>
      </c>
      <c r="F82" s="66">
        <v>0.142</v>
      </c>
      <c r="G82" s="66">
        <v>0.037</v>
      </c>
      <c r="H82" s="66">
        <v>0.021</v>
      </c>
      <c r="I82" s="66">
        <v>0.005</v>
      </c>
      <c r="J82" s="66">
        <v>1.06</v>
      </c>
      <c r="K82" s="66" t="s">
        <v>58</v>
      </c>
      <c r="L82" s="82">
        <v>44635.0</v>
      </c>
    </row>
    <row r="83">
      <c r="A83" s="66" t="s">
        <v>57</v>
      </c>
      <c r="B83" s="66">
        <v>2022.0</v>
      </c>
      <c r="C83" s="66">
        <v>3.0</v>
      </c>
      <c r="D83" s="66">
        <v>1.0</v>
      </c>
      <c r="F83" s="66">
        <v>0.5</v>
      </c>
      <c r="G83" s="66">
        <v>0.292</v>
      </c>
      <c r="H83" s="66">
        <v>0.147</v>
      </c>
      <c r="I83" s="66">
        <v>0.072</v>
      </c>
      <c r="J83" s="66">
        <v>3.07</v>
      </c>
      <c r="K83" s="81">
        <f>average(1.93,1.43,1.66,1.45)</f>
        <v>1.6175</v>
      </c>
      <c r="L83" s="82">
        <v>44635.0</v>
      </c>
    </row>
    <row r="84">
      <c r="A84" s="66" t="s">
        <v>57</v>
      </c>
      <c r="B84" s="66">
        <v>2380.0</v>
      </c>
      <c r="C84" s="66">
        <v>2.0</v>
      </c>
      <c r="D84" s="66">
        <v>1.0</v>
      </c>
      <c r="F84" s="66">
        <v>0.783</v>
      </c>
      <c r="G84" s="66">
        <v>0.453</v>
      </c>
      <c r="H84" s="66">
        <v>0.052</v>
      </c>
      <c r="I84" s="66">
        <v>0.028</v>
      </c>
      <c r="J84" s="66">
        <v>1.59</v>
      </c>
      <c r="K84" s="81">
        <f>average(1.27,1.37,1.21,1.37)</f>
        <v>1.305</v>
      </c>
      <c r="L84" s="82">
        <v>44635.0</v>
      </c>
    </row>
    <row r="85">
      <c r="A85" s="66" t="s">
        <v>179</v>
      </c>
      <c r="B85" s="66">
        <v>2006.0</v>
      </c>
      <c r="C85" s="66">
        <v>1.0</v>
      </c>
      <c r="D85" s="66">
        <v>0.0</v>
      </c>
      <c r="F85" s="66">
        <v>0.459</v>
      </c>
      <c r="G85" s="66">
        <v>0.165</v>
      </c>
      <c r="H85" s="66">
        <v>0.042</v>
      </c>
      <c r="I85" s="66">
        <v>0.015</v>
      </c>
      <c r="J85" s="66">
        <v>1.3</v>
      </c>
      <c r="K85" s="81">
        <f>average(0.82,0.94,0.82,0.78)</f>
        <v>0.84</v>
      </c>
      <c r="L85" s="82">
        <v>44635.0</v>
      </c>
    </row>
    <row r="86">
      <c r="A86" s="66" t="s">
        <v>57</v>
      </c>
      <c r="B86" s="66">
        <v>2023.0</v>
      </c>
      <c r="C86" s="66">
        <v>4.0</v>
      </c>
      <c r="D86" s="66">
        <v>0.0</v>
      </c>
      <c r="E86" s="66" t="s">
        <v>181</v>
      </c>
      <c r="F86" s="66">
        <v>0.761</v>
      </c>
      <c r="G86" s="66">
        <v>0.371</v>
      </c>
      <c r="H86" s="66">
        <v>0.141</v>
      </c>
      <c r="I86" s="66">
        <v>0.058</v>
      </c>
      <c r="J86" s="66">
        <v>2.88</v>
      </c>
      <c r="K86" s="81">
        <f>average(1.03,1.02,0.99,1.13)</f>
        <v>1.0425</v>
      </c>
      <c r="L86" s="82">
        <v>44635.0</v>
      </c>
    </row>
    <row r="87">
      <c r="A87" s="66" t="s">
        <v>57</v>
      </c>
      <c r="B87" s="66">
        <v>2091.0</v>
      </c>
      <c r="C87" s="66">
        <v>2.0</v>
      </c>
      <c r="D87" s="66">
        <v>1.0</v>
      </c>
      <c r="F87" s="66">
        <v>0.984</v>
      </c>
      <c r="G87" s="66">
        <v>0.609</v>
      </c>
      <c r="H87" s="66">
        <v>0.222</v>
      </c>
      <c r="I87" s="66">
        <v>0.132</v>
      </c>
      <c r="J87" s="66">
        <v>3.66</v>
      </c>
      <c r="K87" s="81">
        <f>average(1.53,1.54,1.57,1.56)</f>
        <v>1.55</v>
      </c>
      <c r="L87" s="82">
        <v>44635.0</v>
      </c>
    </row>
    <row r="88">
      <c r="A88" s="66" t="s">
        <v>57</v>
      </c>
      <c r="B88" s="66">
        <v>2023.0</v>
      </c>
      <c r="C88" s="66">
        <v>4.0</v>
      </c>
      <c r="D88" s="66">
        <v>1.0</v>
      </c>
      <c r="F88" s="66">
        <v>0.193</v>
      </c>
      <c r="G88" s="66">
        <v>0.116</v>
      </c>
      <c r="H88" s="66">
        <v>0.085</v>
      </c>
      <c r="I88" s="66">
        <v>0.044</v>
      </c>
      <c r="J88" s="66">
        <v>1.68</v>
      </c>
      <c r="K88" s="81">
        <f>average(1.48,1.53,1.63,1.45)</f>
        <v>1.5225</v>
      </c>
      <c r="L88" s="82">
        <v>44635.0</v>
      </c>
    </row>
    <row r="89">
      <c r="A89" s="66" t="s">
        <v>57</v>
      </c>
      <c r="B89" s="66">
        <v>2022.0</v>
      </c>
      <c r="C89" s="66">
        <v>1.0</v>
      </c>
      <c r="D89" s="66">
        <v>1.0</v>
      </c>
      <c r="F89" s="66">
        <v>1.051</v>
      </c>
      <c r="G89" s="66">
        <v>0.625</v>
      </c>
      <c r="H89" s="66">
        <v>0.129</v>
      </c>
      <c r="I89" s="66">
        <v>0.07</v>
      </c>
      <c r="J89" s="66">
        <v>2.82</v>
      </c>
      <c r="K89" s="81">
        <f>average(1.39,1.57,1.66,1.49)</f>
        <v>1.5275</v>
      </c>
      <c r="L89" s="82">
        <v>44635.0</v>
      </c>
    </row>
    <row r="90">
      <c r="A90" s="66" t="s">
        <v>179</v>
      </c>
      <c r="B90" s="66">
        <v>2020.0</v>
      </c>
      <c r="C90" s="66">
        <v>1.0</v>
      </c>
      <c r="D90" s="66">
        <v>0.0</v>
      </c>
      <c r="F90" s="66">
        <v>0.557</v>
      </c>
      <c r="G90" s="66">
        <v>0.227</v>
      </c>
      <c r="H90" s="66">
        <v>0.048</v>
      </c>
      <c r="I90" s="66">
        <v>0.018</v>
      </c>
      <c r="J90" s="66">
        <v>1.92</v>
      </c>
      <c r="K90" s="81">
        <f>average(0.82,0.85,0.87,0.82)</f>
        <v>0.84</v>
      </c>
      <c r="L90" s="82">
        <v>44635.0</v>
      </c>
    </row>
    <row r="91">
      <c r="A91" s="66" t="s">
        <v>57</v>
      </c>
      <c r="B91" s="66">
        <v>2023.0</v>
      </c>
      <c r="C91" s="66">
        <v>2.0</v>
      </c>
      <c r="D91" s="66">
        <v>1.0</v>
      </c>
      <c r="E91" s="66" t="s">
        <v>181</v>
      </c>
      <c r="F91" s="66">
        <v>0.13</v>
      </c>
      <c r="G91" s="66">
        <v>0.08</v>
      </c>
      <c r="H91" s="66">
        <v>0.059</v>
      </c>
      <c r="I91" s="66">
        <v>0.031</v>
      </c>
      <c r="J91" s="66">
        <v>1.46</v>
      </c>
      <c r="K91" s="81">
        <f>average(1.22,1.13,1.15,1.21)</f>
        <v>1.1775</v>
      </c>
      <c r="L91" s="82">
        <v>44635.0</v>
      </c>
    </row>
    <row r="92">
      <c r="A92" s="66" t="s">
        <v>179</v>
      </c>
      <c r="B92" s="66">
        <v>2382.0</v>
      </c>
      <c r="C92" s="66">
        <v>2.0</v>
      </c>
      <c r="D92" s="66">
        <v>0.0</v>
      </c>
      <c r="F92" s="66">
        <v>0.914</v>
      </c>
      <c r="G92" s="66">
        <v>0.388</v>
      </c>
      <c r="H92" s="66">
        <v>0.082</v>
      </c>
      <c r="I92" s="66">
        <v>0.032</v>
      </c>
      <c r="J92" s="66">
        <v>2.57</v>
      </c>
      <c r="K92" s="81">
        <f>average(1.11,1.06,1.04,1.03)</f>
        <v>1.06</v>
      </c>
      <c r="L92" s="82">
        <v>44635.0</v>
      </c>
    </row>
    <row r="93">
      <c r="A93" s="66" t="s">
        <v>57</v>
      </c>
      <c r="B93" s="66">
        <v>2352.0</v>
      </c>
      <c r="C93" s="66">
        <v>3.0</v>
      </c>
      <c r="D93" s="66">
        <v>0.0</v>
      </c>
      <c r="F93" s="66">
        <v>0.085</v>
      </c>
      <c r="G93" s="66">
        <v>0.031</v>
      </c>
      <c r="H93" s="66">
        <v>0.012</v>
      </c>
      <c r="I93" s="66">
        <v>0.004</v>
      </c>
      <c r="J93" s="66">
        <v>0.99</v>
      </c>
      <c r="K93" s="66" t="s">
        <v>58</v>
      </c>
      <c r="L93" s="82">
        <v>44635.0</v>
      </c>
    </row>
    <row r="94">
      <c r="A94" s="66" t="s">
        <v>57</v>
      </c>
      <c r="B94" s="66">
        <v>2023.0</v>
      </c>
      <c r="C94" s="66">
        <v>2.0</v>
      </c>
      <c r="D94" s="66">
        <v>0.0</v>
      </c>
      <c r="E94" s="66" t="s">
        <v>180</v>
      </c>
      <c r="F94" s="66">
        <v>0.462</v>
      </c>
      <c r="G94" s="66">
        <v>0.238</v>
      </c>
      <c r="H94" s="66">
        <v>0.013</v>
      </c>
      <c r="I94" s="66">
        <v>0.006</v>
      </c>
      <c r="J94" s="66">
        <v>0.62</v>
      </c>
      <c r="K94" s="81">
        <f>average(1.67,1.35,1.1,1.35)</f>
        <v>1.3675</v>
      </c>
      <c r="L94" s="82">
        <v>44635.0</v>
      </c>
    </row>
    <row r="95">
      <c r="A95" s="66" t="s">
        <v>179</v>
      </c>
      <c r="B95" s="66">
        <v>2025.0</v>
      </c>
      <c r="C95" s="66">
        <v>3.0</v>
      </c>
      <c r="D95" s="66">
        <v>0.0</v>
      </c>
      <c r="F95" s="66">
        <v>0.415</v>
      </c>
      <c r="G95" s="66">
        <v>0.205</v>
      </c>
      <c r="H95" s="66">
        <v>0.052</v>
      </c>
      <c r="I95" s="66">
        <v>0.024</v>
      </c>
      <c r="J95" s="66">
        <v>2.15</v>
      </c>
      <c r="K95" s="81">
        <f>average(1.07,1.02,1.06,0.98)</f>
        <v>1.0325</v>
      </c>
      <c r="L95" s="82">
        <v>44635.0</v>
      </c>
    </row>
    <row r="96">
      <c r="A96" s="66" t="s">
        <v>179</v>
      </c>
      <c r="B96" s="66">
        <v>2378.0</v>
      </c>
      <c r="C96" s="66">
        <v>2.0</v>
      </c>
      <c r="D96" s="66">
        <v>0.0</v>
      </c>
      <c r="F96" s="66">
        <v>1.523</v>
      </c>
      <c r="G96" s="66">
        <v>0.657</v>
      </c>
      <c r="H96" s="66">
        <v>0.288</v>
      </c>
      <c r="I96" s="66">
        <v>0.113</v>
      </c>
      <c r="J96" s="66">
        <v>4.65</v>
      </c>
      <c r="K96" s="81">
        <f>average(1.44,1.38,1.71,1.59)</f>
        <v>1.53</v>
      </c>
      <c r="L96" s="82">
        <v>44635.0</v>
      </c>
    </row>
    <row r="97">
      <c r="A97" s="66" t="s">
        <v>57</v>
      </c>
      <c r="B97" s="66">
        <v>2380.0</v>
      </c>
      <c r="C97" s="66">
        <v>1.0</v>
      </c>
      <c r="D97" s="66">
        <v>1.0</v>
      </c>
      <c r="F97" s="66">
        <v>0.923</v>
      </c>
      <c r="G97" s="66">
        <v>0.514</v>
      </c>
      <c r="H97" s="66">
        <v>0.132</v>
      </c>
      <c r="I97" s="66">
        <v>0.067</v>
      </c>
      <c r="J97" s="66">
        <v>2.77</v>
      </c>
      <c r="K97" s="81">
        <f>average(1.32,1.39,1.26,1.38)</f>
        <v>1.3375</v>
      </c>
      <c r="L97" s="82">
        <v>44635.0</v>
      </c>
    </row>
    <row r="98">
      <c r="A98" s="66" t="s">
        <v>57</v>
      </c>
      <c r="B98" s="66">
        <v>2301.0</v>
      </c>
      <c r="C98" s="66">
        <v>1.0</v>
      </c>
      <c r="D98" s="66">
        <v>1.0</v>
      </c>
      <c r="F98" s="66">
        <v>3.209</v>
      </c>
      <c r="G98" s="66">
        <v>1.805</v>
      </c>
      <c r="H98" s="66">
        <v>0.412</v>
      </c>
      <c r="I98" s="66">
        <v>0.223</v>
      </c>
      <c r="J98" s="66">
        <v>8.52</v>
      </c>
      <c r="K98" s="81">
        <f>average(1.73,1.67,1.66,1.74)</f>
        <v>1.7</v>
      </c>
      <c r="L98" s="82">
        <v>44635.0</v>
      </c>
    </row>
    <row r="99">
      <c r="A99" s="66" t="s">
        <v>57</v>
      </c>
      <c r="B99" s="66">
        <v>2303.0</v>
      </c>
      <c r="C99" s="66">
        <v>1.0</v>
      </c>
      <c r="D99" s="66">
        <v>1.0</v>
      </c>
      <c r="F99" s="66">
        <v>1.227</v>
      </c>
      <c r="G99" s="66">
        <v>0.744</v>
      </c>
      <c r="H99" s="66">
        <v>0.162</v>
      </c>
      <c r="I99" s="66">
        <v>0.082</v>
      </c>
      <c r="J99" s="66">
        <v>1.96</v>
      </c>
      <c r="K99" s="81">
        <f>average(0.89,2.02,2.14,2.08)</f>
        <v>1.7825</v>
      </c>
      <c r="L99" s="82">
        <v>44635.0</v>
      </c>
    </row>
    <row r="100">
      <c r="A100" s="66" t="s">
        <v>179</v>
      </c>
      <c r="B100" s="66">
        <v>2020.0</v>
      </c>
      <c r="C100" s="66">
        <v>2.0</v>
      </c>
      <c r="D100" s="66">
        <v>0.0</v>
      </c>
      <c r="F100" s="66">
        <v>0.489</v>
      </c>
      <c r="G100" s="66">
        <v>0.213</v>
      </c>
      <c r="H100" s="66">
        <v>0.039</v>
      </c>
      <c r="I100" s="66">
        <v>0.015</v>
      </c>
      <c r="J100" s="66">
        <v>1.26</v>
      </c>
      <c r="K100" s="81">
        <f>average(0.94,0.84,0.77,0.86)</f>
        <v>0.8525</v>
      </c>
      <c r="L100" s="82">
        <v>44635.0</v>
      </c>
    </row>
    <row r="101">
      <c r="A101" s="66" t="s">
        <v>57</v>
      </c>
      <c r="B101" s="66">
        <v>2352.0</v>
      </c>
      <c r="C101" s="66">
        <v>1.0</v>
      </c>
      <c r="D101" s="66">
        <v>0.0</v>
      </c>
      <c r="F101" s="66">
        <v>0.614</v>
      </c>
      <c r="G101" s="66">
        <v>0.347</v>
      </c>
      <c r="H101" s="66">
        <v>0.07</v>
      </c>
      <c r="I101" s="66">
        <v>0.034</v>
      </c>
      <c r="J101" s="66">
        <v>2.33</v>
      </c>
      <c r="K101" s="81">
        <f>average(1.11,1.01,0.99,0.94)</f>
        <v>1.0125</v>
      </c>
      <c r="L101" s="82">
        <v>44635.0</v>
      </c>
    </row>
    <row r="102">
      <c r="A102" s="66" t="s">
        <v>179</v>
      </c>
      <c r="B102" s="66">
        <v>2007.0</v>
      </c>
      <c r="C102" s="66">
        <v>1.0</v>
      </c>
      <c r="D102" s="66">
        <v>0.0</v>
      </c>
      <c r="F102" s="66">
        <v>0.523</v>
      </c>
      <c r="G102" s="66">
        <v>0.235</v>
      </c>
      <c r="H102" s="66">
        <v>0.044</v>
      </c>
      <c r="I102" s="66">
        <v>0.017</v>
      </c>
      <c r="J102" s="66">
        <v>1.98</v>
      </c>
      <c r="K102" s="81">
        <f>average(0.75,0.65,0.66,0.77)</f>
        <v>0.7075</v>
      </c>
      <c r="L102" s="82">
        <v>44635.0</v>
      </c>
    </row>
    <row r="103">
      <c r="A103" s="66" t="s">
        <v>57</v>
      </c>
      <c r="B103" s="66">
        <v>2089.0</v>
      </c>
      <c r="C103" s="66">
        <v>2.0</v>
      </c>
      <c r="D103" s="66">
        <v>0.0</v>
      </c>
      <c r="E103" s="66" t="s">
        <v>180</v>
      </c>
      <c r="F103" s="66">
        <v>0.278</v>
      </c>
      <c r="G103" s="66">
        <v>0.156</v>
      </c>
      <c r="H103" s="66">
        <v>0.035</v>
      </c>
      <c r="I103" s="66">
        <v>0.02</v>
      </c>
      <c r="J103" s="66">
        <v>2.01</v>
      </c>
      <c r="K103" s="81">
        <f>average(0.9,0.75,0.8,0.83)</f>
        <v>0.82</v>
      </c>
      <c r="L103" s="82">
        <v>44635.0</v>
      </c>
    </row>
    <row r="104">
      <c r="A104" s="66" t="s">
        <v>57</v>
      </c>
      <c r="B104" s="66">
        <v>2091.0</v>
      </c>
      <c r="C104" s="66">
        <v>3.0</v>
      </c>
      <c r="D104" s="66">
        <v>1.0</v>
      </c>
      <c r="F104" s="66">
        <v>1.166</v>
      </c>
      <c r="G104" s="66">
        <v>0.714</v>
      </c>
      <c r="H104" s="66">
        <v>0.164</v>
      </c>
      <c r="I104" s="66">
        <v>0.095</v>
      </c>
      <c r="J104" s="66">
        <v>3.39</v>
      </c>
      <c r="K104" s="81">
        <f>average(1.59,1.58,1.49,1.56)</f>
        <v>1.555</v>
      </c>
      <c r="L104" s="82">
        <v>44635.0</v>
      </c>
    </row>
    <row r="105">
      <c r="A105" s="66" t="s">
        <v>57</v>
      </c>
      <c r="B105" s="66">
        <v>2026.0</v>
      </c>
      <c r="C105" s="66">
        <v>1.0</v>
      </c>
      <c r="D105" s="66">
        <v>0.0</v>
      </c>
      <c r="F105" s="66">
        <v>0.538</v>
      </c>
      <c r="G105" s="66">
        <v>0.263</v>
      </c>
      <c r="H105" s="66">
        <v>0.097</v>
      </c>
      <c r="I105" s="66">
        <v>0.026</v>
      </c>
      <c r="J105" s="66">
        <v>1.93</v>
      </c>
      <c r="K105" s="81">
        <f>average(0.8,0.75,0.78,0.78)</f>
        <v>0.7775</v>
      </c>
      <c r="L105" s="82">
        <v>44635.0</v>
      </c>
    </row>
    <row r="106">
      <c r="A106" s="66" t="s">
        <v>179</v>
      </c>
      <c r="B106" s="66">
        <v>2005.0</v>
      </c>
      <c r="C106" s="66">
        <v>1.0</v>
      </c>
      <c r="D106" s="66">
        <v>0.0</v>
      </c>
      <c r="F106" s="66">
        <v>1.97</v>
      </c>
      <c r="G106" s="66">
        <v>0.819</v>
      </c>
      <c r="H106" s="66">
        <v>0.194</v>
      </c>
      <c r="I106" s="66">
        <v>0.074</v>
      </c>
      <c r="J106" s="66">
        <v>2.93</v>
      </c>
      <c r="K106" s="81">
        <f>average(1.54,1.41,1.41,1.62)</f>
        <v>1.495</v>
      </c>
      <c r="L106" s="82">
        <v>44635.0</v>
      </c>
    </row>
    <row r="107">
      <c r="A107" s="66" t="s">
        <v>57</v>
      </c>
      <c r="B107" s="66">
        <v>2331.0</v>
      </c>
      <c r="C107" s="66">
        <v>2.0</v>
      </c>
      <c r="D107" s="66">
        <v>0.0</v>
      </c>
      <c r="F107" s="66">
        <v>0.257</v>
      </c>
      <c r="G107" s="66">
        <v>0.078</v>
      </c>
      <c r="H107" s="66">
        <v>0.026</v>
      </c>
      <c r="I107" s="66">
        <v>0.009</v>
      </c>
      <c r="J107" s="66">
        <v>1.22</v>
      </c>
      <c r="K107" s="66" t="s">
        <v>58</v>
      </c>
      <c r="L107" s="82">
        <v>44635.0</v>
      </c>
    </row>
    <row r="108">
      <c r="A108" s="66" t="s">
        <v>57</v>
      </c>
      <c r="B108" s="66">
        <v>2352.0</v>
      </c>
      <c r="C108" s="66">
        <v>3.0</v>
      </c>
      <c r="D108" s="66">
        <v>1.0</v>
      </c>
      <c r="F108" s="66">
        <v>0.194</v>
      </c>
      <c r="G108" s="66">
        <v>0.117</v>
      </c>
      <c r="H108" s="66">
        <v>0.037</v>
      </c>
      <c r="I108" s="66">
        <v>0.02</v>
      </c>
      <c r="J108" s="66">
        <v>1.92</v>
      </c>
      <c r="K108" s="81">
        <f>average(1.01,0.97,0.75,0.86)</f>
        <v>0.8975</v>
      </c>
      <c r="L108" s="82">
        <v>44635.0</v>
      </c>
    </row>
    <row r="109">
      <c r="A109" s="66" t="s">
        <v>179</v>
      </c>
      <c r="B109" s="66">
        <v>2020.0</v>
      </c>
      <c r="C109" s="66">
        <v>3.0</v>
      </c>
      <c r="D109" s="66">
        <v>0.0</v>
      </c>
      <c r="F109" s="66">
        <v>0.477</v>
      </c>
      <c r="G109" s="66">
        <v>0.216</v>
      </c>
      <c r="H109" s="66">
        <v>0.031</v>
      </c>
      <c r="I109" s="66">
        <v>0.012</v>
      </c>
      <c r="J109" s="66">
        <v>1.2</v>
      </c>
      <c r="K109" s="81">
        <f>average(0.81,0.77,0.84,0.99)</f>
        <v>0.8525</v>
      </c>
      <c r="L109" s="82">
        <v>44635.0</v>
      </c>
    </row>
    <row r="110">
      <c r="A110" s="66" t="s">
        <v>57</v>
      </c>
      <c r="B110" s="66">
        <v>2023.0</v>
      </c>
      <c r="C110" s="66">
        <v>3.0</v>
      </c>
      <c r="D110" s="66">
        <v>1.0</v>
      </c>
      <c r="F110" s="66">
        <v>1.359</v>
      </c>
      <c r="G110" s="66">
        <v>0.826</v>
      </c>
      <c r="H110" s="66">
        <v>0.241</v>
      </c>
      <c r="I110" s="66">
        <v>0.127</v>
      </c>
      <c r="J110" s="66">
        <v>4.62</v>
      </c>
      <c r="K110" s="81">
        <f>average(1.8,1.53,1.67,1.74)</f>
        <v>1.685</v>
      </c>
      <c r="L110" s="82">
        <v>44635.0</v>
      </c>
    </row>
    <row r="111">
      <c r="A111" s="66" t="s">
        <v>179</v>
      </c>
      <c r="B111" s="66">
        <v>2379.0</v>
      </c>
      <c r="C111" s="66">
        <v>3.0</v>
      </c>
      <c r="D111" s="66">
        <v>0.0</v>
      </c>
      <c r="F111" s="66">
        <v>0.503</v>
      </c>
      <c r="G111" s="66">
        <v>0.224</v>
      </c>
      <c r="H111" s="66">
        <v>0.041</v>
      </c>
      <c r="I111" s="66">
        <v>0.017</v>
      </c>
      <c r="J111" s="66">
        <v>0.75</v>
      </c>
      <c r="K111" s="66" t="s">
        <v>58</v>
      </c>
      <c r="L111" s="82">
        <v>44635.0</v>
      </c>
    </row>
    <row r="112">
      <c r="A112" s="66" t="s">
        <v>57</v>
      </c>
      <c r="B112" s="66">
        <v>2093.0</v>
      </c>
      <c r="C112" s="66">
        <v>2.0</v>
      </c>
      <c r="D112" s="66">
        <v>1.0</v>
      </c>
      <c r="F112" s="66">
        <v>1.881</v>
      </c>
      <c r="G112" s="66">
        <v>0.124</v>
      </c>
      <c r="H112" s="66">
        <v>0.043</v>
      </c>
      <c r="I112" s="66">
        <v>0.104</v>
      </c>
      <c r="J112" s="66">
        <v>2.69</v>
      </c>
      <c r="K112" s="81">
        <f>average(1.64,1.63,1.64,1.61)</f>
        <v>1.63</v>
      </c>
      <c r="L112" s="82">
        <v>44635.0</v>
      </c>
    </row>
    <row r="113">
      <c r="A113" s="66" t="s">
        <v>179</v>
      </c>
      <c r="B113" s="66">
        <v>2378.0</v>
      </c>
      <c r="C113" s="66">
        <v>1.0</v>
      </c>
      <c r="D113" s="66">
        <v>0.0</v>
      </c>
      <c r="F113" s="66">
        <v>0.615</v>
      </c>
      <c r="G113" s="66">
        <v>0.279</v>
      </c>
      <c r="H113" s="66">
        <v>0.124</v>
      </c>
      <c r="I113" s="66">
        <v>0.05</v>
      </c>
      <c r="J113" s="66">
        <v>2.75</v>
      </c>
      <c r="K113" s="81">
        <f>average(1.05,1.09,0.95,0.97)</f>
        <v>1.015</v>
      </c>
      <c r="L113" s="82">
        <v>44635.0</v>
      </c>
    </row>
    <row r="114">
      <c r="A114" s="66" t="s">
        <v>179</v>
      </c>
      <c r="B114" s="66">
        <v>2006.0</v>
      </c>
      <c r="C114" s="66">
        <v>3.0</v>
      </c>
      <c r="D114" s="66">
        <v>0.0</v>
      </c>
      <c r="F114" s="66">
        <v>0.225</v>
      </c>
      <c r="G114" s="66">
        <v>0.081</v>
      </c>
      <c r="H114" s="66">
        <v>0.026</v>
      </c>
      <c r="I114" s="66">
        <v>0.01</v>
      </c>
      <c r="J114" s="66">
        <v>0.78</v>
      </c>
      <c r="K114" s="66" t="s">
        <v>58</v>
      </c>
      <c r="L114" s="82">
        <v>44635.0</v>
      </c>
    </row>
    <row r="115">
      <c r="A115" s="66" t="s">
        <v>57</v>
      </c>
      <c r="B115" s="66">
        <v>2352.0</v>
      </c>
      <c r="C115" s="66">
        <v>2.0</v>
      </c>
      <c r="D115" s="66">
        <v>1.0</v>
      </c>
      <c r="F115" s="66">
        <v>0.41</v>
      </c>
      <c r="G115" s="66">
        <v>0.242</v>
      </c>
      <c r="H115" s="66">
        <v>0.034</v>
      </c>
      <c r="I115" s="66">
        <v>0.018</v>
      </c>
      <c r="J115" s="66">
        <v>1.37</v>
      </c>
      <c r="K115" s="81">
        <f>average(0.81,0.84,0.96,1.07)</f>
        <v>0.92</v>
      </c>
      <c r="L115" s="82">
        <v>44635.0</v>
      </c>
    </row>
    <row r="116">
      <c r="A116" s="66" t="s">
        <v>179</v>
      </c>
      <c r="B116" s="66">
        <v>2025.0</v>
      </c>
      <c r="C116" s="66">
        <v>2.0</v>
      </c>
      <c r="D116" s="66">
        <v>0.0</v>
      </c>
      <c r="F116" s="66">
        <v>0.943</v>
      </c>
      <c r="G116" s="66">
        <v>0.447</v>
      </c>
      <c r="H116" s="66">
        <v>0.163</v>
      </c>
      <c r="I116" s="66">
        <v>0.069</v>
      </c>
      <c r="J116" s="66">
        <v>4.34</v>
      </c>
      <c r="K116" s="81">
        <f>average(1.55,1.46,1.39,1.19)</f>
        <v>1.3975</v>
      </c>
      <c r="L116" s="82">
        <v>44635.0</v>
      </c>
    </row>
    <row r="117">
      <c r="A117" s="66" t="s">
        <v>179</v>
      </c>
      <c r="B117" s="66">
        <v>2021.0</v>
      </c>
      <c r="C117" s="66">
        <v>1.0</v>
      </c>
      <c r="D117" s="66">
        <v>0.0</v>
      </c>
      <c r="F117" s="66">
        <v>0.404</v>
      </c>
      <c r="G117" s="66">
        <v>0.2</v>
      </c>
      <c r="H117" s="66">
        <v>0.045</v>
      </c>
      <c r="I117" s="66">
        <v>0.018</v>
      </c>
      <c r="J117" s="66">
        <v>1.21</v>
      </c>
      <c r="K117" s="66" t="s">
        <v>58</v>
      </c>
      <c r="L117" s="82">
        <v>44635.0</v>
      </c>
    </row>
    <row r="118">
      <c r="A118" s="66" t="s">
        <v>57</v>
      </c>
      <c r="B118" s="66">
        <v>2352.0</v>
      </c>
      <c r="C118" s="66">
        <v>1.0</v>
      </c>
      <c r="D118" s="66">
        <v>1.0</v>
      </c>
      <c r="F118" s="66">
        <v>0.2</v>
      </c>
      <c r="G118" s="66">
        <v>0.122</v>
      </c>
      <c r="H118" s="66">
        <v>0.2</v>
      </c>
      <c r="I118" s="66">
        <v>0.112</v>
      </c>
      <c r="J118" s="66">
        <v>6.39</v>
      </c>
      <c r="K118" s="81">
        <f>average(1.3,1.29,1.24,1.23)</f>
        <v>1.265</v>
      </c>
      <c r="L118" s="82">
        <v>44635.0</v>
      </c>
    </row>
    <row r="119">
      <c r="A119" s="66" t="s">
        <v>179</v>
      </c>
      <c r="B119" s="66">
        <v>2024.0</v>
      </c>
      <c r="C119" s="66">
        <v>1.0</v>
      </c>
      <c r="D119" s="66">
        <v>0.0</v>
      </c>
      <c r="F119" s="66">
        <v>1.72</v>
      </c>
      <c r="G119" s="66">
        <v>0.714</v>
      </c>
      <c r="H119" s="66">
        <v>0.208</v>
      </c>
      <c r="I119" s="66">
        <v>0.078</v>
      </c>
      <c r="J119" s="66">
        <v>3.63</v>
      </c>
      <c r="K119" s="81">
        <f>average(1.41,1.88,1.78,1.4)</f>
        <v>1.6175</v>
      </c>
      <c r="L119" s="82">
        <v>44635.0</v>
      </c>
    </row>
    <row r="120">
      <c r="A120" s="66" t="s">
        <v>179</v>
      </c>
      <c r="B120" s="66">
        <v>2008.0</v>
      </c>
      <c r="C120" s="66">
        <v>1.0</v>
      </c>
      <c r="D120" s="66">
        <v>0.0</v>
      </c>
      <c r="F120" s="66">
        <v>0.505</v>
      </c>
      <c r="G120" s="66">
        <v>0.173</v>
      </c>
      <c r="H120" s="66">
        <v>0.03</v>
      </c>
      <c r="I120" s="66">
        <v>0.011</v>
      </c>
      <c r="J120" s="66">
        <v>0.9</v>
      </c>
      <c r="K120" s="66" t="s">
        <v>58</v>
      </c>
      <c r="L120" s="82">
        <v>44635.0</v>
      </c>
    </row>
    <row r="121">
      <c r="A121" s="66" t="s">
        <v>57</v>
      </c>
      <c r="B121" s="66">
        <v>2331.0</v>
      </c>
      <c r="C121" s="66">
        <v>2.0</v>
      </c>
      <c r="D121" s="66">
        <v>1.0</v>
      </c>
      <c r="F121" s="66">
        <v>0.563</v>
      </c>
      <c r="G121" s="66">
        <v>0.34</v>
      </c>
      <c r="H121" s="66">
        <v>0.199</v>
      </c>
      <c r="I121" s="66">
        <v>0.109</v>
      </c>
      <c r="J121" s="66">
        <v>4.63</v>
      </c>
      <c r="K121" s="81">
        <f>average(1.58,1.43,1.48,1.52)</f>
        <v>1.5025</v>
      </c>
      <c r="L121" s="82">
        <v>44635.0</v>
      </c>
    </row>
    <row r="122">
      <c r="A122" s="66" t="s">
        <v>179</v>
      </c>
      <c r="B122" s="66">
        <v>2024.0</v>
      </c>
      <c r="C122" s="66">
        <v>4.0</v>
      </c>
      <c r="D122" s="66">
        <v>0.0</v>
      </c>
      <c r="F122" s="66">
        <v>0.939</v>
      </c>
      <c r="G122" s="66">
        <v>0.35</v>
      </c>
      <c r="H122" s="66">
        <v>0.203</v>
      </c>
      <c r="I122" s="66">
        <v>0.074</v>
      </c>
      <c r="J122" s="66">
        <v>4.82</v>
      </c>
      <c r="K122" s="81">
        <f>average(1.43,1.63,1.79,1.75)</f>
        <v>1.65</v>
      </c>
      <c r="L122" s="82">
        <v>44635.0</v>
      </c>
    </row>
    <row r="123">
      <c r="A123" s="66" t="s">
        <v>179</v>
      </c>
      <c r="B123" s="66">
        <v>2025.0</v>
      </c>
      <c r="C123" s="66">
        <v>4.0</v>
      </c>
      <c r="D123" s="66">
        <v>0.0</v>
      </c>
      <c r="F123" s="66">
        <v>0.657</v>
      </c>
      <c r="G123" s="66">
        <v>0.322</v>
      </c>
      <c r="H123" s="66">
        <v>0.098</v>
      </c>
      <c r="I123" s="66">
        <v>0.043</v>
      </c>
      <c r="J123" s="66">
        <v>3.21</v>
      </c>
      <c r="K123" s="81">
        <f>average(1.37,1.18,1.22,1.22)</f>
        <v>1.2475</v>
      </c>
      <c r="L123" s="82">
        <v>44635.0</v>
      </c>
    </row>
    <row r="124">
      <c r="A124" s="66" t="s">
        <v>57</v>
      </c>
      <c r="B124" s="66">
        <v>2023.0</v>
      </c>
      <c r="C124" s="66">
        <v>2.0</v>
      </c>
      <c r="D124" s="66">
        <v>0.0</v>
      </c>
      <c r="E124" s="66" t="s">
        <v>181</v>
      </c>
      <c r="F124" s="66">
        <v>1.305</v>
      </c>
      <c r="G124" s="66">
        <v>0.65</v>
      </c>
      <c r="H124" s="66">
        <v>0.104</v>
      </c>
      <c r="I124" s="66">
        <v>0.046</v>
      </c>
      <c r="J124" s="66">
        <v>3.43</v>
      </c>
      <c r="K124" s="81">
        <f>average(0.91,1.16,1.02,0.99)</f>
        <v>1.02</v>
      </c>
      <c r="L124" s="82">
        <v>44635.0</v>
      </c>
    </row>
    <row r="125">
      <c r="A125" s="66" t="s">
        <v>57</v>
      </c>
      <c r="B125" s="66">
        <v>2345.0</v>
      </c>
      <c r="C125" s="66">
        <v>3.0</v>
      </c>
      <c r="D125" s="66">
        <v>1.0</v>
      </c>
      <c r="F125" s="66">
        <v>2.065</v>
      </c>
      <c r="G125" s="66">
        <v>1.212</v>
      </c>
      <c r="H125" s="66">
        <v>0.319</v>
      </c>
      <c r="I125" s="66">
        <v>0.177</v>
      </c>
      <c r="J125" s="66">
        <v>5.41</v>
      </c>
      <c r="K125" s="81">
        <f>average(1.74,1.77,1.75,1.78)</f>
        <v>1.76</v>
      </c>
      <c r="L125" s="82">
        <v>44635.0</v>
      </c>
    </row>
    <row r="126">
      <c r="A126" s="66" t="s">
        <v>57</v>
      </c>
      <c r="B126" s="66">
        <v>2023.0</v>
      </c>
      <c r="C126" s="66">
        <v>4.0</v>
      </c>
      <c r="D126" s="66">
        <v>0.0</v>
      </c>
      <c r="E126" s="66" t="s">
        <v>180</v>
      </c>
      <c r="F126" s="66">
        <v>1.513</v>
      </c>
      <c r="G126" s="66">
        <v>0.742</v>
      </c>
      <c r="H126" s="66">
        <v>0.176</v>
      </c>
      <c r="I126" s="66">
        <v>0.076</v>
      </c>
      <c r="J126" s="66">
        <v>5.03</v>
      </c>
      <c r="K126" s="81">
        <f>average(1.28,1.31,1.22,1.33)</f>
        <v>1.285</v>
      </c>
      <c r="L126" s="82">
        <v>44635.0</v>
      </c>
    </row>
    <row r="127">
      <c r="A127" s="66" t="s">
        <v>57</v>
      </c>
      <c r="B127" s="66">
        <v>2345.0</v>
      </c>
      <c r="C127" s="66">
        <v>1.0</v>
      </c>
      <c r="D127" s="66">
        <v>1.0</v>
      </c>
      <c r="E127" s="66" t="s">
        <v>180</v>
      </c>
      <c r="F127" s="66">
        <v>2.549</v>
      </c>
      <c r="G127" s="66">
        <v>1.486</v>
      </c>
      <c r="H127" s="66">
        <v>0.28</v>
      </c>
      <c r="I127" s="66">
        <v>0.147</v>
      </c>
      <c r="J127" s="66">
        <v>4.39</v>
      </c>
      <c r="K127" s="81">
        <f>average(2.03,2.05,1.89,1.13)</f>
        <v>1.775</v>
      </c>
      <c r="L127" s="82">
        <v>44635.0</v>
      </c>
    </row>
    <row r="128">
      <c r="A128" s="66" t="s">
        <v>57</v>
      </c>
      <c r="B128" s="66">
        <v>2089.0</v>
      </c>
      <c r="C128" s="66">
        <v>2.0</v>
      </c>
      <c r="D128" s="66">
        <v>1.0</v>
      </c>
      <c r="F128" s="66">
        <v>1.062</v>
      </c>
      <c r="G128" s="66">
        <v>0.622</v>
      </c>
      <c r="H128" s="66">
        <v>0.278</v>
      </c>
      <c r="I128" s="66">
        <v>0.157</v>
      </c>
      <c r="J128" s="66">
        <v>6.85</v>
      </c>
      <c r="K128" s="81">
        <f>average(1.65,1.53,1.5,1.57)</f>
        <v>1.5625</v>
      </c>
      <c r="L128" s="82">
        <v>44635.0</v>
      </c>
    </row>
    <row r="129">
      <c r="A129" s="66" t="s">
        <v>179</v>
      </c>
      <c r="B129" s="66">
        <v>2008.0</v>
      </c>
      <c r="C129" s="66">
        <v>3.0</v>
      </c>
      <c r="D129" s="66">
        <v>0.0</v>
      </c>
      <c r="F129" s="66">
        <v>0.913</v>
      </c>
      <c r="G129" s="66">
        <v>0.317</v>
      </c>
      <c r="H129" s="66">
        <v>0.06</v>
      </c>
      <c r="I129" s="66">
        <v>0.021</v>
      </c>
      <c r="J129" s="66">
        <v>1.5</v>
      </c>
      <c r="K129" s="66" t="s">
        <v>58</v>
      </c>
      <c r="L129" s="82">
        <v>44635.0</v>
      </c>
    </row>
    <row r="130">
      <c r="A130" s="66" t="s">
        <v>179</v>
      </c>
      <c r="B130" s="66">
        <v>2381.0</v>
      </c>
      <c r="C130" s="66">
        <v>1.0</v>
      </c>
      <c r="D130" s="66">
        <v>0.0</v>
      </c>
      <c r="F130" s="66">
        <v>0.594</v>
      </c>
      <c r="G130" s="66">
        <v>0.226</v>
      </c>
      <c r="H130" s="66">
        <v>0.056</v>
      </c>
      <c r="I130" s="66">
        <v>0.02</v>
      </c>
      <c r="J130" s="66">
        <v>0.96</v>
      </c>
      <c r="K130" s="66" t="s">
        <v>58</v>
      </c>
      <c r="L130" s="82">
        <v>44635.0</v>
      </c>
    </row>
    <row r="131">
      <c r="A131" s="66" t="s">
        <v>179</v>
      </c>
      <c r="B131" s="66">
        <v>2004.0</v>
      </c>
      <c r="C131" s="66">
        <v>2.0</v>
      </c>
      <c r="D131" s="66">
        <v>0.0</v>
      </c>
      <c r="F131" s="66">
        <v>0.512</v>
      </c>
      <c r="G131" s="66">
        <v>0.189</v>
      </c>
      <c r="H131" s="66">
        <v>0.09</v>
      </c>
      <c r="I131" s="66">
        <v>0.032</v>
      </c>
      <c r="J131" s="66">
        <v>2.2</v>
      </c>
      <c r="K131" s="81">
        <f>average(1.15,1.22,1.21,1.14)</f>
        <v>1.18</v>
      </c>
      <c r="L131" s="82">
        <v>44635.0</v>
      </c>
    </row>
    <row r="132">
      <c r="A132" s="66" t="s">
        <v>57</v>
      </c>
      <c r="B132" s="66">
        <v>2301.0</v>
      </c>
      <c r="C132" s="66">
        <v>3.0</v>
      </c>
      <c r="D132" s="66">
        <v>1.0</v>
      </c>
      <c r="F132" s="66">
        <v>1.95</v>
      </c>
      <c r="G132" s="66">
        <v>1.1</v>
      </c>
      <c r="H132" s="66">
        <v>0.282</v>
      </c>
      <c r="I132" s="66">
        <v>0.148</v>
      </c>
      <c r="J132" s="66">
        <v>7.56</v>
      </c>
      <c r="K132" s="81">
        <f>average(1.39,1.47,1.23,1.52)</f>
        <v>1.4025</v>
      </c>
      <c r="L132" s="82">
        <v>44635.0</v>
      </c>
    </row>
    <row r="133">
      <c r="A133" s="66" t="s">
        <v>57</v>
      </c>
      <c r="B133" s="66">
        <v>2092.0</v>
      </c>
      <c r="C133" s="66">
        <v>1.0</v>
      </c>
      <c r="D133" s="66">
        <v>1.0</v>
      </c>
      <c r="F133" s="66">
        <v>0.379</v>
      </c>
      <c r="G133" s="66">
        <v>0.233</v>
      </c>
      <c r="H133" s="66">
        <v>0.081</v>
      </c>
      <c r="I133" s="66">
        <v>0.043</v>
      </c>
      <c r="J133" s="66">
        <v>2.04</v>
      </c>
      <c r="K133" s="81">
        <f>average(1.44,1.47,1.42,1.38)</f>
        <v>1.4275</v>
      </c>
      <c r="L133" s="82">
        <v>44635.0</v>
      </c>
    </row>
    <row r="134">
      <c r="A134" s="66" t="s">
        <v>57</v>
      </c>
      <c r="B134" s="66">
        <v>2023.0</v>
      </c>
      <c r="C134" s="66">
        <v>3.0</v>
      </c>
      <c r="D134" s="66">
        <v>0.0</v>
      </c>
      <c r="F134" s="66">
        <v>1.058</v>
      </c>
      <c r="G134" s="66">
        <v>0.548</v>
      </c>
      <c r="H134" s="66">
        <v>0.088</v>
      </c>
      <c r="I134" s="66">
        <v>0.041</v>
      </c>
      <c r="J134" s="66">
        <v>1.84</v>
      </c>
      <c r="K134" s="81">
        <f>average(1.1,1.35,1.48,1.24)</f>
        <v>1.2925</v>
      </c>
      <c r="L134" s="82">
        <v>44635.0</v>
      </c>
    </row>
    <row r="135">
      <c r="A135" s="66" t="s">
        <v>57</v>
      </c>
      <c r="B135" s="66">
        <v>2023.0</v>
      </c>
      <c r="C135" s="66">
        <v>2.0</v>
      </c>
      <c r="D135" s="66">
        <v>0.0</v>
      </c>
      <c r="E135" s="66" t="s">
        <v>182</v>
      </c>
      <c r="F135" s="66">
        <v>1.026</v>
      </c>
      <c r="G135" s="66">
        <v>0.52</v>
      </c>
      <c r="H135" s="66">
        <v>0.112</v>
      </c>
      <c r="I135" s="66">
        <v>0.05</v>
      </c>
      <c r="J135" s="66">
        <v>4.41</v>
      </c>
      <c r="K135" s="81">
        <f>average(1,0.98,1.11,0.94)</f>
        <v>1.0075</v>
      </c>
      <c r="L135" s="82">
        <v>44635.0</v>
      </c>
    </row>
    <row r="136">
      <c r="A136" s="66" t="s">
        <v>57</v>
      </c>
      <c r="B136" s="66">
        <v>2345.0</v>
      </c>
      <c r="C136" s="66">
        <v>1.0</v>
      </c>
      <c r="D136" s="66">
        <v>1.0</v>
      </c>
      <c r="F136" s="66">
        <v>2.401</v>
      </c>
      <c r="G136" s="66">
        <v>1.412</v>
      </c>
      <c r="H136" s="66">
        <v>0.418</v>
      </c>
      <c r="I136" s="66">
        <v>0.227</v>
      </c>
      <c r="J136" s="66">
        <v>7.02</v>
      </c>
      <c r="K136" s="81">
        <f>average(2.05,1.95,2.07,2.04)</f>
        <v>2.0275</v>
      </c>
      <c r="L136" s="82">
        <v>44635.0</v>
      </c>
    </row>
    <row r="137">
      <c r="A137" s="66" t="s">
        <v>57</v>
      </c>
      <c r="B137" s="66">
        <v>2023.0</v>
      </c>
      <c r="C137" s="66">
        <v>2.0</v>
      </c>
      <c r="D137" s="66">
        <v>1.0</v>
      </c>
      <c r="E137" s="66" t="s">
        <v>180</v>
      </c>
      <c r="F137" s="66">
        <v>0.438</v>
      </c>
      <c r="G137" s="66">
        <v>0.269</v>
      </c>
      <c r="H137" s="66">
        <v>0.165</v>
      </c>
      <c r="I137" s="66">
        <v>0.086</v>
      </c>
      <c r="J137" s="66">
        <v>3.57</v>
      </c>
      <c r="K137" s="81">
        <f>average(1.19,1.43,1.33,1.46)</f>
        <v>1.3525</v>
      </c>
      <c r="L137" s="82">
        <v>44635.0</v>
      </c>
    </row>
    <row r="138">
      <c r="A138" s="66" t="s">
        <v>179</v>
      </c>
      <c r="B138" s="66">
        <v>2027.0</v>
      </c>
      <c r="C138" s="66">
        <v>2.0</v>
      </c>
      <c r="D138" s="66">
        <v>0.0</v>
      </c>
      <c r="F138" s="66">
        <v>1.026</v>
      </c>
      <c r="G138" s="66">
        <v>0.402</v>
      </c>
      <c r="H138" s="66">
        <v>0.042</v>
      </c>
      <c r="I138" s="66">
        <v>0.016</v>
      </c>
      <c r="J138" s="66">
        <v>1.05</v>
      </c>
      <c r="K138" s="66" t="s">
        <v>58</v>
      </c>
      <c r="L138" s="82">
        <v>44635.0</v>
      </c>
    </row>
    <row r="139">
      <c r="A139" s="66" t="s">
        <v>179</v>
      </c>
      <c r="B139" s="66">
        <v>2379.0</v>
      </c>
      <c r="C139" s="66">
        <v>2.0</v>
      </c>
      <c r="D139" s="66">
        <v>0.0</v>
      </c>
      <c r="F139" s="66">
        <v>0.589</v>
      </c>
      <c r="G139" s="66">
        <v>0.27</v>
      </c>
      <c r="H139" s="66">
        <v>0.03</v>
      </c>
      <c r="I139" s="66">
        <v>0.013</v>
      </c>
      <c r="J139" s="66">
        <v>0.8</v>
      </c>
      <c r="K139" s="81">
        <f>average(0.72,0.64,0.98,0.77)</f>
        <v>0.7775</v>
      </c>
      <c r="L139" s="82">
        <v>44635.0</v>
      </c>
    </row>
    <row r="140">
      <c r="A140" s="66" t="s">
        <v>57</v>
      </c>
      <c r="B140" s="66">
        <v>2301.0</v>
      </c>
      <c r="C140" s="66">
        <v>2.0</v>
      </c>
      <c r="D140" s="66">
        <v>1.0</v>
      </c>
      <c r="F140" s="66">
        <v>2.328</v>
      </c>
      <c r="G140" s="66">
        <v>1.344</v>
      </c>
      <c r="H140" s="66">
        <v>0.399</v>
      </c>
      <c r="I140" s="66">
        <v>0.213</v>
      </c>
      <c r="J140" s="66">
        <v>9.51</v>
      </c>
      <c r="K140" s="81">
        <f>average(1.4,1.43,1.34,1.53)</f>
        <v>1.425</v>
      </c>
      <c r="L140" s="82">
        <v>44635.0</v>
      </c>
    </row>
    <row r="141">
      <c r="A141" s="66" t="s">
        <v>57</v>
      </c>
      <c r="B141" s="66">
        <v>2345.0</v>
      </c>
      <c r="C141" s="66">
        <v>2.0</v>
      </c>
      <c r="D141" s="66">
        <v>1.0</v>
      </c>
      <c r="F141" s="66">
        <v>1.66</v>
      </c>
      <c r="G141" s="66">
        <v>0.977</v>
      </c>
      <c r="H141" s="66">
        <v>0.309</v>
      </c>
      <c r="I141" s="66">
        <v>0.173</v>
      </c>
      <c r="J141" s="66">
        <v>5.59</v>
      </c>
      <c r="K141" s="81">
        <f>average(1.64,1.62,1.64,1.65)</f>
        <v>1.6375</v>
      </c>
      <c r="L141" s="82">
        <v>44635.0</v>
      </c>
    </row>
    <row r="142">
      <c r="A142" s="66" t="s">
        <v>57</v>
      </c>
      <c r="B142" s="66">
        <v>2089.0</v>
      </c>
      <c r="C142" s="66">
        <v>1.0</v>
      </c>
      <c r="D142" s="66">
        <v>1.0</v>
      </c>
      <c r="F142" s="66">
        <v>2.377</v>
      </c>
      <c r="G142" s="66">
        <v>1.421</v>
      </c>
      <c r="H142" s="66" t="s">
        <v>58</v>
      </c>
      <c r="I142" s="66">
        <v>0.267</v>
      </c>
      <c r="J142" s="66">
        <v>8.55</v>
      </c>
      <c r="K142" s="81">
        <f>average(1.89,1.99,2.03,1.98)</f>
        <v>1.9725</v>
      </c>
      <c r="L142" s="82">
        <v>44635.0</v>
      </c>
    </row>
    <row r="143">
      <c r="A143" s="66" t="s">
        <v>57</v>
      </c>
      <c r="B143" s="66">
        <v>2023.0</v>
      </c>
      <c r="C143" s="66">
        <v>1.0</v>
      </c>
      <c r="D143" s="66">
        <v>0.0</v>
      </c>
      <c r="E143" s="66" t="s">
        <v>182</v>
      </c>
      <c r="F143" s="66">
        <v>0.257</v>
      </c>
      <c r="G143" s="66">
        <v>0.133</v>
      </c>
      <c r="H143" s="66">
        <v>0.025</v>
      </c>
      <c r="I143" s="66">
        <v>0.013</v>
      </c>
      <c r="J143" s="66">
        <v>0.86</v>
      </c>
      <c r="K143" s="81">
        <f>average(1.2,0.98,1.1,1.22)</f>
        <v>1.125</v>
      </c>
      <c r="L143" s="82">
        <v>44635.0</v>
      </c>
    </row>
    <row r="144">
      <c r="A144" s="66" t="s">
        <v>179</v>
      </c>
      <c r="B144" s="66">
        <v>2382.0</v>
      </c>
      <c r="C144" s="66">
        <v>3.0</v>
      </c>
      <c r="D144" s="66">
        <v>0.0</v>
      </c>
      <c r="F144" s="66">
        <v>1.123</v>
      </c>
      <c r="G144" s="66">
        <v>0.485</v>
      </c>
      <c r="H144" s="66">
        <v>0.082</v>
      </c>
      <c r="I144" s="66">
        <v>0.032</v>
      </c>
      <c r="J144" s="66">
        <v>2.19</v>
      </c>
      <c r="K144" s="81">
        <f>average(0.88,1.12,1.22,1.38)</f>
        <v>1.15</v>
      </c>
      <c r="L144" s="82">
        <v>44635.0</v>
      </c>
    </row>
    <row r="145">
      <c r="A145" s="66" t="s">
        <v>57</v>
      </c>
      <c r="B145" s="66">
        <v>2089.0</v>
      </c>
      <c r="C145" s="66">
        <v>4.0</v>
      </c>
      <c r="D145" s="66">
        <v>0.0</v>
      </c>
      <c r="F145" s="66">
        <v>0.752</v>
      </c>
      <c r="G145" s="66">
        <v>0.438</v>
      </c>
      <c r="H145" s="66">
        <v>0.098</v>
      </c>
      <c r="I145" s="66">
        <v>0.051</v>
      </c>
      <c r="J145" s="66">
        <v>3.17</v>
      </c>
      <c r="K145" s="81">
        <f>average(1.21,1.38,1.45,1.31)</f>
        <v>1.3375</v>
      </c>
      <c r="L145" s="82">
        <v>44635.0</v>
      </c>
    </row>
    <row r="146">
      <c r="A146" s="66" t="s">
        <v>57</v>
      </c>
      <c r="B146" s="66">
        <v>2377.0</v>
      </c>
      <c r="C146" s="66">
        <v>1.0</v>
      </c>
      <c r="D146" s="66">
        <v>1.0</v>
      </c>
      <c r="F146" s="66">
        <v>2.038</v>
      </c>
      <c r="G146" s="66">
        <v>1.258</v>
      </c>
      <c r="H146" s="66">
        <v>0.466</v>
      </c>
      <c r="I146" s="66">
        <v>0.259</v>
      </c>
      <c r="J146" s="66">
        <v>7.75</v>
      </c>
      <c r="K146" s="81">
        <f>average(1.19,2.16,2.22,2.05)</f>
        <v>1.905</v>
      </c>
      <c r="L146" s="82">
        <v>44635.0</v>
      </c>
    </row>
    <row r="147">
      <c r="A147" s="66" t="s">
        <v>179</v>
      </c>
      <c r="B147" s="66">
        <v>2006.0</v>
      </c>
      <c r="C147" s="66">
        <v>2.0</v>
      </c>
      <c r="D147" s="66">
        <v>0.0</v>
      </c>
      <c r="F147" s="66">
        <v>0.916</v>
      </c>
      <c r="G147" s="66">
        <v>0.326</v>
      </c>
      <c r="H147" s="66">
        <v>0.053</v>
      </c>
      <c r="I147" s="66">
        <v>0.02</v>
      </c>
      <c r="J147" s="66">
        <v>1.38</v>
      </c>
      <c r="K147" s="81">
        <f>average(1.74,1.69,1.78,1.38)</f>
        <v>1.6475</v>
      </c>
      <c r="L147" s="82">
        <v>44635.0</v>
      </c>
    </row>
    <row r="148">
      <c r="A148" s="66" t="s">
        <v>179</v>
      </c>
      <c r="B148" s="66">
        <v>2384.0</v>
      </c>
      <c r="C148" s="66">
        <v>3.0</v>
      </c>
      <c r="D148" s="66">
        <v>0.0</v>
      </c>
      <c r="F148" s="66">
        <v>0.247</v>
      </c>
      <c r="G148" s="66">
        <v>0.106</v>
      </c>
      <c r="H148" s="66">
        <v>0.011</v>
      </c>
      <c r="I148" s="66">
        <v>0.004</v>
      </c>
      <c r="J148" s="66">
        <v>0.61</v>
      </c>
      <c r="K148" s="66" t="s">
        <v>58</v>
      </c>
      <c r="L148" s="82">
        <v>44635.0</v>
      </c>
    </row>
    <row r="149">
      <c r="A149" s="66" t="s">
        <v>179</v>
      </c>
      <c r="B149" s="66">
        <v>2378.0</v>
      </c>
      <c r="C149" s="66">
        <v>4.0</v>
      </c>
      <c r="D149" s="66">
        <v>0.0</v>
      </c>
      <c r="F149" s="66">
        <v>0.452</v>
      </c>
      <c r="G149" s="66">
        <v>0.208</v>
      </c>
      <c r="H149" s="66">
        <v>0.086</v>
      </c>
      <c r="I149" s="66">
        <v>0.035</v>
      </c>
      <c r="J149" s="66">
        <v>2.21</v>
      </c>
      <c r="K149" s="81">
        <f>average(0.9,0.88,1.05,1.13)</f>
        <v>0.99</v>
      </c>
      <c r="L149" s="82">
        <v>44635.0</v>
      </c>
    </row>
    <row r="150">
      <c r="A150" s="66" t="s">
        <v>179</v>
      </c>
      <c r="B150" s="66">
        <v>2378.0</v>
      </c>
      <c r="C150" s="66">
        <v>3.0</v>
      </c>
      <c r="D150" s="66">
        <v>0.0</v>
      </c>
      <c r="F150" s="66">
        <v>0.827</v>
      </c>
      <c r="G150" s="66">
        <v>0.376</v>
      </c>
      <c r="H150" s="66">
        <v>0.161</v>
      </c>
      <c r="I150" s="66">
        <v>0.065</v>
      </c>
      <c r="J150" s="66">
        <v>4.02</v>
      </c>
      <c r="K150" s="81">
        <f>average(1.32,1.24,1.34,1.48)</f>
        <v>1.345</v>
      </c>
      <c r="L150" s="82">
        <v>44635.0</v>
      </c>
    </row>
    <row r="151">
      <c r="A151" s="66" t="s">
        <v>179</v>
      </c>
      <c r="B151" s="66">
        <v>2020.0</v>
      </c>
      <c r="C151" s="66">
        <v>4.0</v>
      </c>
      <c r="D151" s="66">
        <v>0.0</v>
      </c>
      <c r="F151" s="66">
        <v>0.277</v>
      </c>
      <c r="G151" s="66">
        <v>0.124</v>
      </c>
      <c r="H151" s="66">
        <v>0.018</v>
      </c>
      <c r="I151" s="66">
        <v>0.007</v>
      </c>
      <c r="J151" s="66">
        <v>0.7</v>
      </c>
      <c r="K151" s="81">
        <f>average(0.85,0.76,0.67,0.56)</f>
        <v>0.71</v>
      </c>
      <c r="L151" s="82">
        <v>44635.0</v>
      </c>
    </row>
    <row r="152">
      <c r="A152" s="66" t="s">
        <v>57</v>
      </c>
      <c r="B152" s="66">
        <v>2022.0</v>
      </c>
      <c r="C152" s="66">
        <v>3.0</v>
      </c>
      <c r="D152" s="66">
        <v>0.0</v>
      </c>
      <c r="F152" s="66">
        <v>3.288</v>
      </c>
      <c r="G152" s="66">
        <v>1.546</v>
      </c>
      <c r="H152" s="66">
        <v>0.237</v>
      </c>
      <c r="I152" s="66">
        <v>0.089</v>
      </c>
      <c r="J152" s="66">
        <v>3.42</v>
      </c>
      <c r="K152" s="81">
        <f>average(1.65,1.5,1.53,1.6)</f>
        <v>1.57</v>
      </c>
      <c r="L152" s="82">
        <v>44635.0</v>
      </c>
    </row>
    <row r="153">
      <c r="A153" s="66" t="s">
        <v>179</v>
      </c>
      <c r="B153" s="66">
        <v>2007.0</v>
      </c>
      <c r="C153" s="66">
        <v>3.0</v>
      </c>
      <c r="D153" s="66">
        <v>0.0</v>
      </c>
      <c r="F153" s="66">
        <v>0.29</v>
      </c>
      <c r="G153" s="66">
        <v>0.133</v>
      </c>
      <c r="H153" s="66" t="s">
        <v>58</v>
      </c>
      <c r="I153" s="66">
        <v>0.009</v>
      </c>
      <c r="J153" s="66">
        <v>1.09</v>
      </c>
      <c r="K153" s="66" t="s">
        <v>58</v>
      </c>
      <c r="L153" s="82">
        <v>44635.0</v>
      </c>
    </row>
    <row r="154">
      <c r="A154" s="66" t="s">
        <v>57</v>
      </c>
      <c r="B154" s="66">
        <v>2092.0</v>
      </c>
      <c r="C154" s="66">
        <v>3.0</v>
      </c>
      <c r="D154" s="66">
        <v>1.0</v>
      </c>
      <c r="F154" s="66">
        <v>0.764</v>
      </c>
      <c r="G154" s="66">
        <v>0.445</v>
      </c>
      <c r="H154" s="66">
        <v>0.121</v>
      </c>
      <c r="I154" s="66">
        <v>0.066</v>
      </c>
      <c r="J154" s="66">
        <v>3.5</v>
      </c>
      <c r="K154" s="81">
        <f>average(1.34,1.39,1.36,1.32)</f>
        <v>1.3525</v>
      </c>
      <c r="L154" s="82">
        <v>44635.0</v>
      </c>
    </row>
    <row r="155">
      <c r="A155" s="66" t="s">
        <v>57</v>
      </c>
      <c r="B155" s="66">
        <v>2022.0</v>
      </c>
      <c r="C155" s="66">
        <v>2.0</v>
      </c>
      <c r="D155" s="66">
        <v>0.0</v>
      </c>
      <c r="F155" s="66">
        <v>1.921</v>
      </c>
      <c r="G155" s="66">
        <v>0.934</v>
      </c>
      <c r="H155" s="66">
        <v>0.253</v>
      </c>
      <c r="I155" s="66">
        <v>0.093</v>
      </c>
      <c r="J155" s="66">
        <v>2.5</v>
      </c>
      <c r="K155" s="81">
        <f>average(1.5,1.47,1.4,1.45)</f>
        <v>1.455</v>
      </c>
      <c r="L155" s="82">
        <v>44635.0</v>
      </c>
    </row>
    <row r="156">
      <c r="A156" s="66" t="s">
        <v>57</v>
      </c>
      <c r="B156" s="66">
        <v>2331.0</v>
      </c>
      <c r="C156" s="66">
        <v>1.0</v>
      </c>
      <c r="D156" s="66">
        <v>1.0</v>
      </c>
      <c r="F156" s="66">
        <v>2.041</v>
      </c>
      <c r="G156" s="66">
        <v>1.282</v>
      </c>
      <c r="H156" s="66">
        <v>0.414</v>
      </c>
      <c r="I156" s="66">
        <v>0.245</v>
      </c>
      <c r="J156" s="66">
        <v>7.13</v>
      </c>
      <c r="K156" s="81">
        <f>average(2.01,1.92,1.96,1.94)</f>
        <v>1.9575</v>
      </c>
      <c r="L156" s="82">
        <v>44635.0</v>
      </c>
    </row>
    <row r="157">
      <c r="A157" s="66" t="s">
        <v>57</v>
      </c>
      <c r="B157" s="66">
        <v>2345.0</v>
      </c>
      <c r="C157" s="66">
        <v>1.0</v>
      </c>
      <c r="D157" s="66">
        <v>1.0</v>
      </c>
      <c r="E157" s="66" t="s">
        <v>181</v>
      </c>
      <c r="F157" s="66">
        <v>1.386</v>
      </c>
      <c r="G157" s="66">
        <v>0.824</v>
      </c>
      <c r="H157" s="66" t="s">
        <v>58</v>
      </c>
      <c r="I157" s="66">
        <v>0.089</v>
      </c>
      <c r="J157" s="66">
        <v>4.83</v>
      </c>
      <c r="K157" s="81">
        <f>average(1.36,1.31,1.36,1.35)</f>
        <v>1.345</v>
      </c>
      <c r="L157" s="82">
        <v>44635.0</v>
      </c>
    </row>
    <row r="158">
      <c r="A158" s="66" t="s">
        <v>179</v>
      </c>
      <c r="B158" s="66">
        <v>2384.0</v>
      </c>
      <c r="C158" s="66">
        <v>2.0</v>
      </c>
      <c r="D158" s="66">
        <v>0.0</v>
      </c>
      <c r="F158" s="66">
        <v>0.305</v>
      </c>
      <c r="G158" s="66">
        <v>0.131</v>
      </c>
      <c r="H158" s="66">
        <v>0.027</v>
      </c>
      <c r="I158" s="66">
        <v>0.011</v>
      </c>
      <c r="J158" s="66">
        <v>0.86</v>
      </c>
      <c r="K158" s="66" t="s">
        <v>58</v>
      </c>
      <c r="L158" s="82">
        <v>44635.0</v>
      </c>
    </row>
    <row r="159">
      <c r="A159" s="66" t="s">
        <v>57</v>
      </c>
      <c r="B159" s="66">
        <v>2089.0</v>
      </c>
      <c r="C159" s="66">
        <v>3.0</v>
      </c>
      <c r="D159" s="66">
        <v>0.0</v>
      </c>
      <c r="F159" s="66">
        <v>0.756</v>
      </c>
      <c r="G159" s="66">
        <v>0.453</v>
      </c>
      <c r="H159" s="66">
        <v>0.075</v>
      </c>
      <c r="I159" s="66">
        <v>0.044</v>
      </c>
      <c r="J159" s="66">
        <v>3.22</v>
      </c>
      <c r="K159" s="81">
        <f>average(1,1.25,1.23,1.01)</f>
        <v>1.1225</v>
      </c>
      <c r="L159" s="82">
        <v>44635.0</v>
      </c>
    </row>
    <row r="160">
      <c r="A160" s="66" t="s">
        <v>179</v>
      </c>
      <c r="B160" s="66">
        <v>2027.0</v>
      </c>
      <c r="C160" s="66">
        <v>3.0</v>
      </c>
      <c r="D160" s="66">
        <v>0.0</v>
      </c>
      <c r="F160" s="66">
        <v>0.315</v>
      </c>
      <c r="G160" s="66">
        <v>0.135</v>
      </c>
      <c r="H160" s="66">
        <v>0.012</v>
      </c>
      <c r="I160" s="66">
        <v>0.005</v>
      </c>
      <c r="J160" s="66">
        <v>0.5</v>
      </c>
      <c r="K160" s="66" t="s">
        <v>58</v>
      </c>
      <c r="L160" s="82">
        <v>44635.0</v>
      </c>
    </row>
    <row r="161">
      <c r="A161" s="66" t="s">
        <v>57</v>
      </c>
      <c r="B161" s="66">
        <v>2023.0</v>
      </c>
      <c r="C161" s="66">
        <v>1.0</v>
      </c>
      <c r="D161" s="66">
        <v>0.0</v>
      </c>
      <c r="E161" s="66" t="s">
        <v>181</v>
      </c>
      <c r="F161" s="66">
        <v>2.408</v>
      </c>
      <c r="G161" s="66">
        <v>1.259</v>
      </c>
      <c r="H161" s="66">
        <v>0.213</v>
      </c>
      <c r="I161" s="66">
        <v>0.097</v>
      </c>
      <c r="J161" s="66">
        <v>5.29</v>
      </c>
      <c r="K161" s="81">
        <f>average(1.37,1.55,1.69,1.44)</f>
        <v>1.5125</v>
      </c>
      <c r="L161" s="82">
        <v>44635.0</v>
      </c>
    </row>
    <row r="162">
      <c r="A162" s="66" t="s">
        <v>179</v>
      </c>
      <c r="B162" s="66">
        <v>2381.0</v>
      </c>
      <c r="C162" s="66">
        <v>2.0</v>
      </c>
      <c r="D162" s="66">
        <v>0.0</v>
      </c>
      <c r="F162" s="66">
        <v>0.482</v>
      </c>
      <c r="G162" s="66">
        <v>0.191</v>
      </c>
      <c r="H162" s="66">
        <v>0.028</v>
      </c>
      <c r="I162" s="66">
        <v>0.011</v>
      </c>
      <c r="J162" s="66">
        <v>0.8</v>
      </c>
      <c r="K162" s="66" t="s">
        <v>58</v>
      </c>
      <c r="L162" s="82">
        <v>44635.0</v>
      </c>
    </row>
    <row r="163">
      <c r="A163" s="66" t="s">
        <v>179</v>
      </c>
      <c r="B163" s="66">
        <v>2025.0</v>
      </c>
      <c r="C163" s="66">
        <v>1.0</v>
      </c>
      <c r="D163" s="66">
        <v>0.0</v>
      </c>
      <c r="F163" s="66">
        <v>0.854</v>
      </c>
      <c r="G163" s="66">
        <v>0.393</v>
      </c>
      <c r="H163" s="66">
        <v>0.133</v>
      </c>
      <c r="I163" s="66">
        <v>0.055</v>
      </c>
      <c r="J163" s="66">
        <v>3.41</v>
      </c>
      <c r="K163" s="81">
        <f>average(1.41,1.13,1.24,1.44)</f>
        <v>1.305</v>
      </c>
      <c r="L163" s="82">
        <v>44635.0</v>
      </c>
    </row>
    <row r="164">
      <c r="A164" s="66" t="s">
        <v>57</v>
      </c>
      <c r="B164" s="66">
        <v>2345.0</v>
      </c>
      <c r="C164" s="66">
        <v>3.0</v>
      </c>
      <c r="D164" s="66">
        <v>1.0</v>
      </c>
      <c r="E164" s="66" t="s">
        <v>181</v>
      </c>
      <c r="F164" s="66">
        <v>1.713</v>
      </c>
      <c r="G164" s="66">
        <v>1.066</v>
      </c>
      <c r="H164" s="66">
        <v>0.164</v>
      </c>
      <c r="I164" s="66">
        <v>0.098</v>
      </c>
      <c r="J164" s="66">
        <v>4.43</v>
      </c>
      <c r="K164" s="81">
        <f>average(1.55,1.85,1.94,1.69)</f>
        <v>1.7575</v>
      </c>
      <c r="L164" s="82">
        <v>44635.0</v>
      </c>
    </row>
    <row r="165">
      <c r="A165" s="66" t="s">
        <v>57</v>
      </c>
      <c r="B165" s="66">
        <v>2345.0</v>
      </c>
      <c r="C165" s="66">
        <v>1.0</v>
      </c>
      <c r="D165" s="66">
        <v>0.0</v>
      </c>
      <c r="E165" s="66" t="s">
        <v>181</v>
      </c>
      <c r="F165" s="66">
        <v>0.237</v>
      </c>
      <c r="G165" s="66">
        <v>0.131</v>
      </c>
      <c r="H165" s="66">
        <v>0.033</v>
      </c>
      <c r="I165" s="66">
        <v>0.017</v>
      </c>
      <c r="J165" s="66">
        <v>1.23</v>
      </c>
      <c r="K165" s="81">
        <f>average(1.06,0.91,1.11,0.8)</f>
        <v>0.97</v>
      </c>
      <c r="L165" s="82">
        <v>44635.0</v>
      </c>
    </row>
    <row r="166">
      <c r="A166" s="66" t="s">
        <v>57</v>
      </c>
      <c r="B166" s="66">
        <v>2022.0</v>
      </c>
      <c r="C166" s="66">
        <v>2.0</v>
      </c>
      <c r="D166" s="66">
        <v>1.0</v>
      </c>
      <c r="F166" s="66">
        <v>0.622</v>
      </c>
      <c r="G166" s="66">
        <v>0.361</v>
      </c>
      <c r="H166" s="66">
        <v>0.057</v>
      </c>
      <c r="I166" s="66">
        <v>0.098</v>
      </c>
      <c r="J166" s="66">
        <v>3.61</v>
      </c>
      <c r="K166" s="81">
        <f>average(1.71,1.94,1.52,1.64)</f>
        <v>1.7025</v>
      </c>
      <c r="L166" s="82">
        <v>44635.0</v>
      </c>
    </row>
    <row r="167">
      <c r="A167" s="66" t="s">
        <v>57</v>
      </c>
      <c r="B167" s="66">
        <v>2026.0</v>
      </c>
      <c r="C167" s="66">
        <v>2.0</v>
      </c>
      <c r="D167" s="66">
        <v>0.0</v>
      </c>
      <c r="F167" s="66">
        <v>0.24</v>
      </c>
      <c r="G167" s="66">
        <v>0.114</v>
      </c>
      <c r="H167" s="66">
        <v>0.03</v>
      </c>
      <c r="I167" s="66">
        <v>0.013</v>
      </c>
      <c r="J167" s="66">
        <v>1.48</v>
      </c>
      <c r="K167" s="81">
        <f>average(0.74,0.68,0.71,0.64)</f>
        <v>0.6925</v>
      </c>
      <c r="L167" s="82">
        <v>44635.0</v>
      </c>
    </row>
    <row r="168">
      <c r="A168" s="66" t="s">
        <v>57</v>
      </c>
      <c r="B168" s="66">
        <v>2022.0</v>
      </c>
      <c r="C168" s="66">
        <v>1.0</v>
      </c>
      <c r="D168" s="66">
        <v>0.0</v>
      </c>
      <c r="F168" s="66">
        <v>1.172</v>
      </c>
      <c r="G168" s="66">
        <v>0.567</v>
      </c>
      <c r="H168" s="66">
        <v>0.108</v>
      </c>
      <c r="I168" s="66">
        <v>0.046</v>
      </c>
      <c r="J168" s="66">
        <v>2.01</v>
      </c>
      <c r="K168" s="81">
        <f>average(1.4,1.22,1.17,1.33)</f>
        <v>1.28</v>
      </c>
      <c r="L168" s="82">
        <v>44635.0</v>
      </c>
    </row>
    <row r="169">
      <c r="A169" s="66" t="s">
        <v>179</v>
      </c>
      <c r="B169" s="66">
        <v>2005.0</v>
      </c>
      <c r="C169" s="66">
        <v>3.0</v>
      </c>
      <c r="D169" s="66">
        <v>0.0</v>
      </c>
      <c r="F169" s="66">
        <v>1.485</v>
      </c>
      <c r="G169" s="66">
        <v>0.624</v>
      </c>
      <c r="H169" s="66">
        <v>0.184</v>
      </c>
      <c r="I169" s="66">
        <v>0.072</v>
      </c>
      <c r="J169" s="66">
        <v>3.75</v>
      </c>
      <c r="K169" s="81">
        <f>average(1.24,1.38,1.52,1.34)</f>
        <v>1.37</v>
      </c>
      <c r="L169" s="82">
        <v>44635.0</v>
      </c>
    </row>
    <row r="170">
      <c r="A170" s="66" t="s">
        <v>57</v>
      </c>
      <c r="B170" s="66">
        <v>2345.0</v>
      </c>
      <c r="C170" s="66">
        <v>3.0</v>
      </c>
      <c r="D170" s="66">
        <v>1.0</v>
      </c>
      <c r="E170" s="66" t="s">
        <v>180</v>
      </c>
      <c r="F170" s="66">
        <v>1.755</v>
      </c>
      <c r="G170" s="66">
        <v>1.052</v>
      </c>
      <c r="H170" s="66">
        <v>0.32</v>
      </c>
      <c r="I170" s="66">
        <v>0.182</v>
      </c>
      <c r="J170" s="66">
        <v>7.55</v>
      </c>
      <c r="K170" s="81">
        <f>average(2.02,2.13,2.08,2.06)</f>
        <v>2.0725</v>
      </c>
      <c r="L170" s="82">
        <v>44635.0</v>
      </c>
    </row>
    <row r="171">
      <c r="A171" s="66" t="s">
        <v>57</v>
      </c>
      <c r="B171" s="66">
        <v>2093.0</v>
      </c>
      <c r="C171" s="66">
        <v>1.0</v>
      </c>
      <c r="D171" s="66">
        <v>1.0</v>
      </c>
      <c r="F171" s="66">
        <v>1.357</v>
      </c>
      <c r="G171" s="66">
        <v>0.806</v>
      </c>
      <c r="H171" s="66">
        <v>0.174</v>
      </c>
      <c r="I171" s="66">
        <v>0.093</v>
      </c>
      <c r="J171" s="66">
        <v>3.24</v>
      </c>
      <c r="K171" s="81">
        <f>average(1.74,1.51,1.45,1.63)</f>
        <v>1.5825</v>
      </c>
      <c r="L171" s="82">
        <v>44635.0</v>
      </c>
    </row>
    <row r="172">
      <c r="A172" s="66" t="s">
        <v>179</v>
      </c>
      <c r="B172" s="66">
        <v>2004.0</v>
      </c>
      <c r="C172" s="66">
        <v>1.0</v>
      </c>
      <c r="D172" s="66">
        <v>0.0</v>
      </c>
      <c r="F172" s="66">
        <v>0.656</v>
      </c>
      <c r="G172" s="66">
        <v>0.238</v>
      </c>
      <c r="H172" s="66">
        <v>0.129</v>
      </c>
      <c r="I172" s="66">
        <v>0.043</v>
      </c>
      <c r="J172" s="66">
        <v>3.55</v>
      </c>
      <c r="K172" s="81">
        <f>average(1.37,1.19,1.04,1.24)</f>
        <v>1.21</v>
      </c>
      <c r="L172" s="82">
        <v>44635.0</v>
      </c>
    </row>
    <row r="173">
      <c r="A173" s="66" t="s">
        <v>57</v>
      </c>
      <c r="B173" s="66">
        <v>2345.0</v>
      </c>
      <c r="C173" s="66">
        <v>2.0</v>
      </c>
      <c r="D173" s="66">
        <v>1.0</v>
      </c>
      <c r="E173" s="66" t="s">
        <v>180</v>
      </c>
      <c r="F173" s="66">
        <v>1.252</v>
      </c>
      <c r="G173" s="66">
        <v>0.763</v>
      </c>
      <c r="H173" s="66">
        <v>0.153</v>
      </c>
      <c r="I173" s="66">
        <v>0.088</v>
      </c>
      <c r="J173" s="66">
        <v>5.39</v>
      </c>
      <c r="K173" s="81">
        <f>average(1.56,1.52,1.73,1.57)</f>
        <v>1.595</v>
      </c>
      <c r="L173" s="82">
        <v>44635.0</v>
      </c>
    </row>
    <row r="174">
      <c r="A174" s="66" t="s">
        <v>179</v>
      </c>
      <c r="B174" s="66">
        <v>2381.0</v>
      </c>
      <c r="C174" s="66">
        <v>3.0</v>
      </c>
      <c r="D174" s="66">
        <v>0.0</v>
      </c>
      <c r="F174" s="66">
        <v>0.905</v>
      </c>
      <c r="G174" s="66">
        <v>0.365</v>
      </c>
      <c r="H174" s="66">
        <v>0.041</v>
      </c>
      <c r="I174" s="66">
        <v>0.015</v>
      </c>
      <c r="J174" s="66">
        <v>0.85</v>
      </c>
      <c r="K174" s="66" t="s">
        <v>58</v>
      </c>
      <c r="L174" s="82">
        <v>44635.0</v>
      </c>
    </row>
    <row r="175">
      <c r="A175" s="66" t="s">
        <v>179</v>
      </c>
      <c r="B175" s="66">
        <v>2021.0</v>
      </c>
      <c r="C175" s="66">
        <v>3.0</v>
      </c>
      <c r="D175" s="66">
        <v>0.0</v>
      </c>
      <c r="F175" s="66">
        <v>0.793</v>
      </c>
      <c r="G175" s="66">
        <v>0.377</v>
      </c>
      <c r="H175" s="66">
        <v>0.061</v>
      </c>
      <c r="I175" s="66">
        <v>0.025</v>
      </c>
      <c r="J175" s="66">
        <v>1.48</v>
      </c>
      <c r="K175" s="66" t="s">
        <v>58</v>
      </c>
      <c r="L175" s="82">
        <v>44635.0</v>
      </c>
    </row>
    <row r="176">
      <c r="A176" s="66" t="s">
        <v>179</v>
      </c>
      <c r="B176" s="66">
        <v>2021.0</v>
      </c>
      <c r="C176" s="66">
        <v>3.0</v>
      </c>
      <c r="D176" s="66">
        <v>0.0</v>
      </c>
      <c r="F176" s="66">
        <v>0.793</v>
      </c>
      <c r="G176" s="66">
        <v>0.377</v>
      </c>
      <c r="H176" s="66">
        <v>0.061</v>
      </c>
      <c r="I176" s="66">
        <v>0.025</v>
      </c>
      <c r="J176" s="66">
        <v>1.48</v>
      </c>
      <c r="K176" s="66" t="s">
        <v>58</v>
      </c>
      <c r="L176" s="82">
        <v>44635.0</v>
      </c>
    </row>
    <row r="177">
      <c r="A177" s="66" t="s">
        <v>179</v>
      </c>
      <c r="B177" s="66">
        <v>2384.0</v>
      </c>
      <c r="C177" s="66">
        <v>1.0</v>
      </c>
      <c r="D177" s="66">
        <v>0.0</v>
      </c>
      <c r="F177" s="66">
        <v>0.129</v>
      </c>
      <c r="G177" s="66">
        <v>0.114</v>
      </c>
      <c r="H177" s="66">
        <v>0.019</v>
      </c>
      <c r="I177" s="66">
        <v>0.007</v>
      </c>
      <c r="J177" s="66">
        <v>0.77</v>
      </c>
      <c r="K177" s="66" t="s">
        <v>58</v>
      </c>
      <c r="L177" s="82">
        <v>44635.0</v>
      </c>
    </row>
    <row r="178">
      <c r="A178" s="66" t="s">
        <v>179</v>
      </c>
      <c r="B178" s="66">
        <v>2007.0</v>
      </c>
      <c r="C178" s="66">
        <v>2.0</v>
      </c>
      <c r="D178" s="66">
        <v>0.0</v>
      </c>
      <c r="F178" s="66">
        <v>0.529</v>
      </c>
      <c r="G178" s="66">
        <v>0.245</v>
      </c>
      <c r="H178" s="66">
        <v>0.027</v>
      </c>
      <c r="I178" s="66">
        <v>0.011</v>
      </c>
      <c r="J178" s="66">
        <v>0.99</v>
      </c>
      <c r="K178" s="81">
        <f>average(0.59,0.68,0.55,0.6)</f>
        <v>0.605</v>
      </c>
      <c r="L178" s="82">
        <v>44635.0</v>
      </c>
    </row>
    <row r="179">
      <c r="A179" s="66" t="s">
        <v>57</v>
      </c>
      <c r="B179" s="66">
        <v>2092.0</v>
      </c>
      <c r="C179" s="66">
        <v>2.0</v>
      </c>
      <c r="D179" s="66">
        <v>1.0</v>
      </c>
      <c r="F179" s="66">
        <v>0.447</v>
      </c>
      <c r="G179" s="66">
        <v>0.272</v>
      </c>
      <c r="H179" s="66">
        <v>0.049</v>
      </c>
      <c r="I179" s="66">
        <v>0.027</v>
      </c>
      <c r="J179" s="66">
        <v>1.6</v>
      </c>
      <c r="K179" s="81">
        <f>average(2.22,1.19,1.19,1.25)</f>
        <v>1.4625</v>
      </c>
      <c r="L179" s="82">
        <v>44635.0</v>
      </c>
    </row>
    <row r="180">
      <c r="A180" s="66" t="s">
        <v>179</v>
      </c>
      <c r="B180" s="66">
        <v>2005.0</v>
      </c>
      <c r="C180" s="66">
        <v>2.0</v>
      </c>
      <c r="D180" s="66">
        <v>0.0</v>
      </c>
      <c r="F180" s="66">
        <v>2.143</v>
      </c>
      <c r="G180" s="66">
        <v>0.893</v>
      </c>
      <c r="H180" s="66">
        <v>0.275</v>
      </c>
      <c r="I180" s="66">
        <v>0.104</v>
      </c>
      <c r="J180" s="66">
        <v>4.21</v>
      </c>
      <c r="K180" s="81">
        <f>average(1.57,1.81,1.6,1.75)</f>
        <v>1.6825</v>
      </c>
      <c r="L180" s="82">
        <v>44635.0</v>
      </c>
    </row>
    <row r="181">
      <c r="A181" s="66" t="s">
        <v>57</v>
      </c>
      <c r="B181" s="66">
        <v>2089.0</v>
      </c>
      <c r="C181" s="66">
        <v>2.0</v>
      </c>
      <c r="D181" s="66">
        <v>0.0</v>
      </c>
      <c r="E181" s="66" t="s">
        <v>181</v>
      </c>
      <c r="F181" s="66">
        <v>0.561</v>
      </c>
      <c r="G181" s="66">
        <v>0.325</v>
      </c>
      <c r="H181" s="66">
        <v>0.056</v>
      </c>
      <c r="I181" s="66">
        <v>0.031</v>
      </c>
      <c r="J181" s="66">
        <v>2.82</v>
      </c>
      <c r="K181" s="81">
        <f>average(1.02,1.23,1.29,1.21)</f>
        <v>1.1875</v>
      </c>
      <c r="L181" s="82">
        <v>44635.0</v>
      </c>
    </row>
    <row r="182">
      <c r="A182" s="66" t="s">
        <v>57</v>
      </c>
      <c r="B182" s="66">
        <v>2377.0</v>
      </c>
      <c r="C182" s="66">
        <v>2.0</v>
      </c>
      <c r="D182" s="66">
        <v>1.0</v>
      </c>
      <c r="F182" s="66">
        <v>1.646</v>
      </c>
      <c r="G182" s="66">
        <v>1.005</v>
      </c>
      <c r="H182" s="66">
        <v>0.274</v>
      </c>
      <c r="I182" s="66">
        <v>0.152</v>
      </c>
      <c r="J182" s="66">
        <v>5.83</v>
      </c>
      <c r="K182" s="81">
        <f>average(1.85,1.96,1.9,1.98)</f>
        <v>1.9225</v>
      </c>
      <c r="L182" s="82">
        <v>44635.0</v>
      </c>
    </row>
    <row r="183">
      <c r="A183" s="66" t="s">
        <v>57</v>
      </c>
      <c r="B183" s="66">
        <v>2345.0</v>
      </c>
      <c r="C183" s="66">
        <v>2.0</v>
      </c>
      <c r="D183" s="66">
        <v>1.0</v>
      </c>
      <c r="E183" s="66" t="s">
        <v>181</v>
      </c>
      <c r="F183" s="66">
        <v>1.605</v>
      </c>
      <c r="G183" s="66">
        <v>0.989</v>
      </c>
      <c r="H183" s="66">
        <v>0.121</v>
      </c>
      <c r="I183" s="66">
        <v>0.066</v>
      </c>
      <c r="J183" s="66">
        <v>3.33</v>
      </c>
      <c r="K183" s="81">
        <f>average(1.46,1.53,1.6,1.49)</f>
        <v>1.52</v>
      </c>
      <c r="L183" s="82">
        <v>44635.0</v>
      </c>
    </row>
    <row r="184">
      <c r="A184" s="66" t="s">
        <v>179</v>
      </c>
      <c r="B184" s="66">
        <v>2024.0</v>
      </c>
      <c r="C184" s="66">
        <v>2.0</v>
      </c>
      <c r="D184" s="66">
        <v>0.0</v>
      </c>
      <c r="F184" s="66">
        <v>1.602</v>
      </c>
      <c r="G184" s="66">
        <v>0.653</v>
      </c>
      <c r="H184" s="66">
        <v>0.146</v>
      </c>
      <c r="I184" s="66">
        <v>0.057</v>
      </c>
      <c r="J184" s="66">
        <v>2.87</v>
      </c>
      <c r="K184" s="81">
        <f>average(1.15,1.31,1.43,1.47)</f>
        <v>1.34</v>
      </c>
      <c r="L184" s="82">
        <v>44635.0</v>
      </c>
    </row>
    <row r="185">
      <c r="A185" s="66" t="s">
        <v>179</v>
      </c>
      <c r="B185" s="66">
        <v>2382.0</v>
      </c>
      <c r="C185" s="66">
        <v>1.0</v>
      </c>
      <c r="D185" s="66">
        <v>0.0</v>
      </c>
      <c r="F185" s="66">
        <v>1.272</v>
      </c>
      <c r="G185" s="66">
        <v>0.562</v>
      </c>
      <c r="H185" s="66">
        <v>0.279</v>
      </c>
      <c r="I185" s="66">
        <v>0.106</v>
      </c>
      <c r="J185" s="66">
        <v>6.41</v>
      </c>
      <c r="K185" s="81">
        <f>average(1.23,1.24,1.42,1.33)</f>
        <v>1.305</v>
      </c>
      <c r="L185" s="82">
        <v>44635.0</v>
      </c>
    </row>
    <row r="186">
      <c r="A186" s="66" t="s">
        <v>57</v>
      </c>
      <c r="B186" s="66">
        <v>2380.0</v>
      </c>
      <c r="C186" s="66">
        <v>3.0</v>
      </c>
      <c r="D186" s="66">
        <v>1.0</v>
      </c>
      <c r="F186" s="66">
        <v>0.668</v>
      </c>
      <c r="G186" s="66">
        <v>0.407</v>
      </c>
      <c r="H186" s="66">
        <v>0.076</v>
      </c>
      <c r="I186" s="66">
        <v>0.043</v>
      </c>
      <c r="J186" s="66">
        <v>1.82</v>
      </c>
      <c r="K186" s="81">
        <f>average(1.07,1.08,1.23,1.07)</f>
        <v>1.1125</v>
      </c>
      <c r="L186" s="82">
        <v>44635.0</v>
      </c>
    </row>
    <row r="187">
      <c r="A187" s="66" t="s">
        <v>179</v>
      </c>
      <c r="B187" s="66">
        <v>2021.0</v>
      </c>
      <c r="C187" s="66">
        <v>2.0</v>
      </c>
      <c r="D187" s="66">
        <v>0.0</v>
      </c>
      <c r="F187" s="66">
        <v>0.82</v>
      </c>
      <c r="G187" s="66">
        <v>0.398</v>
      </c>
      <c r="H187" s="66">
        <v>0.089</v>
      </c>
      <c r="I187" s="66">
        <v>0.038</v>
      </c>
      <c r="J187" s="66">
        <v>2.05</v>
      </c>
      <c r="K187" s="66" t="s">
        <v>58</v>
      </c>
      <c r="L187" s="82">
        <v>44635.0</v>
      </c>
    </row>
    <row r="188">
      <c r="A188" s="66" t="s">
        <v>179</v>
      </c>
      <c r="B188" s="66">
        <v>2004.0</v>
      </c>
      <c r="C188" s="66">
        <v>3.0</v>
      </c>
      <c r="D188" s="66">
        <v>0.0</v>
      </c>
      <c r="F188" s="66">
        <v>0.507</v>
      </c>
      <c r="G188" s="66">
        <v>0.193</v>
      </c>
      <c r="H188" s="66">
        <v>0.059</v>
      </c>
      <c r="I188" s="66">
        <v>0.022</v>
      </c>
      <c r="J188" s="66">
        <v>1.67</v>
      </c>
      <c r="K188" s="81">
        <f>average(1.14,1.02,1.1,0.94)</f>
        <v>1.05</v>
      </c>
      <c r="L188" s="82">
        <v>44635.0</v>
      </c>
    </row>
    <row r="189">
      <c r="A189" s="66" t="s">
        <v>57</v>
      </c>
      <c r="B189" s="66">
        <v>2331.0</v>
      </c>
      <c r="C189" s="66">
        <v>3.0</v>
      </c>
      <c r="D189" s="66">
        <v>0.0</v>
      </c>
      <c r="F189" s="66">
        <v>0.485</v>
      </c>
      <c r="G189" s="66">
        <v>0.193</v>
      </c>
      <c r="H189" s="66">
        <v>0.102</v>
      </c>
      <c r="I189" s="66">
        <v>0.037</v>
      </c>
      <c r="J189" s="66">
        <v>3.6</v>
      </c>
      <c r="K189" s="81">
        <f>average(1.13,1.03,0.83,0.86)</f>
        <v>0.9625</v>
      </c>
      <c r="L189" s="82">
        <v>44635.0</v>
      </c>
    </row>
    <row r="190">
      <c r="A190" s="66" t="s">
        <v>57</v>
      </c>
      <c r="B190" s="66">
        <v>2089.0</v>
      </c>
      <c r="C190" s="66">
        <v>4.0</v>
      </c>
      <c r="D190" s="66">
        <v>1.0</v>
      </c>
      <c r="F190" s="66">
        <v>1.152</v>
      </c>
      <c r="G190" s="66">
        <v>0.701</v>
      </c>
      <c r="H190" s="66">
        <v>0.271</v>
      </c>
      <c r="I190" s="66">
        <v>0.156</v>
      </c>
      <c r="J190" s="66">
        <v>6.52</v>
      </c>
      <c r="K190" s="81">
        <f>average(1.71,1.77,1.72,1.7)</f>
        <v>1.725</v>
      </c>
      <c r="L190" s="82">
        <v>44635.0</v>
      </c>
    </row>
    <row r="191">
      <c r="A191" s="66" t="s">
        <v>179</v>
      </c>
      <c r="B191" s="66">
        <v>2008.0</v>
      </c>
      <c r="C191" s="66">
        <v>2.0</v>
      </c>
      <c r="D191" s="66">
        <v>0.0</v>
      </c>
      <c r="F191" s="66">
        <v>0.802</v>
      </c>
      <c r="G191" s="66">
        <v>0.291</v>
      </c>
      <c r="H191" s="66">
        <v>0.033</v>
      </c>
      <c r="I191" s="66">
        <v>0.012</v>
      </c>
      <c r="J191" s="66">
        <v>1.16</v>
      </c>
      <c r="K191" s="66" t="s">
        <v>58</v>
      </c>
      <c r="L191" s="82">
        <v>44635.0</v>
      </c>
    </row>
    <row r="192">
      <c r="A192" s="66" t="s">
        <v>57</v>
      </c>
      <c r="B192" s="66">
        <v>2331.0</v>
      </c>
      <c r="C192" s="66">
        <v>3.0</v>
      </c>
      <c r="D192" s="66">
        <v>1.0</v>
      </c>
      <c r="F192" s="66">
        <v>1.048</v>
      </c>
      <c r="G192" s="66">
        <v>0.642</v>
      </c>
      <c r="H192" s="66">
        <v>0.206</v>
      </c>
      <c r="I192" s="66">
        <v>0.111</v>
      </c>
      <c r="J192" s="66">
        <v>4.83</v>
      </c>
      <c r="K192" s="81">
        <f>average(1.39,1.45,1.51,1.48)</f>
        <v>1.4575</v>
      </c>
      <c r="L192" s="82">
        <v>44635.0</v>
      </c>
    </row>
    <row r="193">
      <c r="A193" s="66" t="s">
        <v>179</v>
      </c>
      <c r="B193" s="66">
        <v>2024.0</v>
      </c>
      <c r="C193" s="66">
        <v>3.0</v>
      </c>
      <c r="D193" s="66">
        <v>0.0</v>
      </c>
      <c r="F193" s="66">
        <v>1.128</v>
      </c>
      <c r="G193" s="66">
        <v>0.43</v>
      </c>
      <c r="H193" s="66">
        <v>0.26</v>
      </c>
      <c r="I193" s="66">
        <v>0.094</v>
      </c>
      <c r="J193" s="66">
        <v>5.23</v>
      </c>
      <c r="K193" s="81">
        <f>average(1.25,1.88,1.62,1.54)</f>
        <v>1.5725</v>
      </c>
      <c r="L193" s="82">
        <v>44635.0</v>
      </c>
    </row>
    <row r="194">
      <c r="A194" s="66" t="s">
        <v>57</v>
      </c>
      <c r="B194" s="66">
        <v>2093.0</v>
      </c>
      <c r="C194" s="66">
        <v>3.0</v>
      </c>
      <c r="D194" s="66">
        <v>1.0</v>
      </c>
      <c r="F194" s="66">
        <v>1.384</v>
      </c>
      <c r="G194" s="66">
        <v>0.822</v>
      </c>
      <c r="H194" s="66">
        <v>0.12</v>
      </c>
      <c r="I194" s="66">
        <v>0.067</v>
      </c>
      <c r="J194" s="66">
        <v>2.58</v>
      </c>
      <c r="K194" s="81">
        <f>average(1.43,1.45,1.38,1.41)</f>
        <v>1.4175</v>
      </c>
      <c r="L194" s="82">
        <v>44635.0</v>
      </c>
    </row>
    <row r="195">
      <c r="A195" s="66" t="s">
        <v>57</v>
      </c>
      <c r="B195" s="66">
        <v>2376.0</v>
      </c>
      <c r="C195" s="66">
        <v>3.0</v>
      </c>
      <c r="D195" s="66">
        <v>1.0</v>
      </c>
      <c r="F195" s="66">
        <v>2.062</v>
      </c>
      <c r="G195" s="66">
        <v>1.192</v>
      </c>
      <c r="H195" s="66">
        <v>0.254</v>
      </c>
      <c r="I195" s="66">
        <v>0.14</v>
      </c>
      <c r="J195" s="66">
        <v>15.29</v>
      </c>
      <c r="K195" s="81">
        <f>average(1.5,1.52,1.6,1.72)</f>
        <v>1.585</v>
      </c>
      <c r="L195" s="82">
        <v>44650.0</v>
      </c>
    </row>
    <row r="196">
      <c r="A196" s="66" t="s">
        <v>57</v>
      </c>
      <c r="B196" s="66">
        <v>2377.0</v>
      </c>
      <c r="C196" s="66">
        <v>2.0</v>
      </c>
      <c r="D196" s="66">
        <v>1.0</v>
      </c>
      <c r="F196" s="66">
        <v>1.456</v>
      </c>
      <c r="G196" s="66">
        <v>0.855</v>
      </c>
      <c r="H196" s="66">
        <v>0.825</v>
      </c>
      <c r="I196" s="66">
        <v>0.372</v>
      </c>
      <c r="J196" s="66">
        <v>8.84</v>
      </c>
      <c r="K196" s="81">
        <f>AVERAGE(2.13,2.14,2.39,2.13)</f>
        <v>2.1975</v>
      </c>
      <c r="L196" s="82">
        <v>44650.0</v>
      </c>
    </row>
    <row r="197">
      <c r="A197" s="66" t="s">
        <v>179</v>
      </c>
      <c r="B197" s="66">
        <v>2009.0</v>
      </c>
      <c r="C197" s="66">
        <v>6.0</v>
      </c>
      <c r="D197" s="66">
        <v>0.0</v>
      </c>
      <c r="F197" s="66">
        <v>0.409</v>
      </c>
      <c r="G197" s="66">
        <v>0.097</v>
      </c>
      <c r="H197" s="66">
        <v>0.04</v>
      </c>
      <c r="I197" s="66">
        <v>0.013</v>
      </c>
      <c r="J197" s="66">
        <v>1.06</v>
      </c>
      <c r="K197" s="81">
        <f>AVERAGE(0.75,0.86,0.7,0.68)</f>
        <v>0.7475</v>
      </c>
      <c r="L197" s="82">
        <v>44650.0</v>
      </c>
    </row>
    <row r="198">
      <c r="A198" s="66" t="s">
        <v>179</v>
      </c>
      <c r="B198" s="66">
        <v>2372.0</v>
      </c>
      <c r="C198" s="66">
        <v>1.0</v>
      </c>
      <c r="D198" s="66">
        <v>0.0</v>
      </c>
      <c r="F198" s="66">
        <v>0.585</v>
      </c>
      <c r="G198" s="66">
        <v>0.174</v>
      </c>
      <c r="H198" s="66">
        <v>0.059</v>
      </c>
      <c r="I198" s="66">
        <v>0.019</v>
      </c>
      <c r="J198" s="66">
        <v>1.31</v>
      </c>
      <c r="K198" s="66" t="s">
        <v>58</v>
      </c>
      <c r="L198" s="82">
        <v>44650.0</v>
      </c>
    </row>
    <row r="199">
      <c r="A199" s="66" t="s">
        <v>179</v>
      </c>
      <c r="B199" s="66">
        <v>2371.0</v>
      </c>
      <c r="C199" s="66">
        <v>3.0</v>
      </c>
      <c r="D199" s="66">
        <v>0.0</v>
      </c>
      <c r="F199" s="66">
        <v>0.389</v>
      </c>
      <c r="G199" s="66">
        <v>0.111</v>
      </c>
      <c r="H199" s="66">
        <v>0.037</v>
      </c>
      <c r="I199" s="66">
        <v>0.012</v>
      </c>
      <c r="J199" s="66">
        <v>1.52</v>
      </c>
      <c r="K199" s="81">
        <f>AVERAGE(0.6,0.73,0.71,0.76)</f>
        <v>0.7</v>
      </c>
      <c r="L199" s="82">
        <v>44650.0</v>
      </c>
    </row>
    <row r="200">
      <c r="A200" s="66" t="s">
        <v>179</v>
      </c>
      <c r="B200" s="66">
        <v>2382.0</v>
      </c>
      <c r="C200" s="66">
        <v>1.0</v>
      </c>
      <c r="D200" s="66">
        <v>0.0</v>
      </c>
      <c r="F200" s="66">
        <v>1.004</v>
      </c>
      <c r="G200" s="66">
        <v>0.499</v>
      </c>
      <c r="H200" s="66">
        <v>0.167</v>
      </c>
      <c r="I200" s="66">
        <v>0.075</v>
      </c>
      <c r="J200" s="66">
        <v>4.24</v>
      </c>
      <c r="K200" s="81">
        <f>AVERAGE(1.18,1.18,0.96,1.11)</f>
        <v>1.1075</v>
      </c>
      <c r="L200" s="82">
        <v>44650.0</v>
      </c>
    </row>
    <row r="201">
      <c r="A201" s="66" t="s">
        <v>179</v>
      </c>
      <c r="B201" s="66">
        <v>2020.0</v>
      </c>
      <c r="C201" s="66">
        <v>2.0</v>
      </c>
      <c r="D201" s="66">
        <v>0.0</v>
      </c>
      <c r="F201" s="66">
        <v>1.515</v>
      </c>
      <c r="G201" s="66">
        <v>0.69</v>
      </c>
      <c r="H201" s="66">
        <v>0.281</v>
      </c>
      <c r="I201" s="66">
        <v>0.104</v>
      </c>
      <c r="J201" s="66">
        <v>3.19</v>
      </c>
      <c r="K201" s="81">
        <f>AVERAGE(1.76,1.65,1.63,1.61)</f>
        <v>1.6625</v>
      </c>
      <c r="L201" s="82">
        <v>44650.0</v>
      </c>
    </row>
    <row r="202">
      <c r="A202" s="66" t="s">
        <v>57</v>
      </c>
      <c r="B202" s="66">
        <v>2331.0</v>
      </c>
      <c r="C202" s="66">
        <v>1.0</v>
      </c>
      <c r="D202" s="66">
        <v>1.0</v>
      </c>
      <c r="F202" s="66">
        <v>1.168</v>
      </c>
      <c r="G202" s="66">
        <v>0.977</v>
      </c>
      <c r="H202" s="66">
        <v>0.296</v>
      </c>
      <c r="I202" s="66">
        <v>0.168</v>
      </c>
      <c r="J202" s="66">
        <v>7.75</v>
      </c>
      <c r="K202" s="81">
        <f>AVERAGE(1.72,1.53,1.73,1.76)</f>
        <v>1.685</v>
      </c>
      <c r="L202" s="82">
        <v>44650.0</v>
      </c>
    </row>
    <row r="203">
      <c r="A203" s="66" t="s">
        <v>179</v>
      </c>
      <c r="B203" s="66">
        <v>2379.0</v>
      </c>
      <c r="C203" s="66">
        <v>3.0</v>
      </c>
      <c r="D203" s="66">
        <v>0.0</v>
      </c>
      <c r="F203" s="66">
        <v>0.362</v>
      </c>
      <c r="G203" s="66">
        <v>0.182</v>
      </c>
      <c r="H203" s="66">
        <v>0.02</v>
      </c>
      <c r="I203" s="66">
        <v>0.008</v>
      </c>
      <c r="J203" s="66">
        <v>0.78</v>
      </c>
      <c r="K203" s="66" t="s">
        <v>58</v>
      </c>
      <c r="L203" s="82">
        <v>44650.0</v>
      </c>
    </row>
    <row r="204">
      <c r="A204" s="66" t="s">
        <v>179</v>
      </c>
      <c r="B204" s="66">
        <v>2360.0</v>
      </c>
      <c r="C204" s="66">
        <v>3.0</v>
      </c>
      <c r="D204" s="66">
        <v>0.0</v>
      </c>
      <c r="F204" s="66">
        <v>1.023</v>
      </c>
      <c r="G204" s="66">
        <v>0.445</v>
      </c>
      <c r="H204" s="66">
        <v>0.085</v>
      </c>
      <c r="I204" s="66">
        <v>0.034</v>
      </c>
      <c r="J204" s="66">
        <v>2.08</v>
      </c>
      <c r="K204" s="81">
        <f>AVERAGE(1.23,0.97,1.13,1.22)</f>
        <v>1.1375</v>
      </c>
      <c r="L204" s="82">
        <v>44650.0</v>
      </c>
    </row>
    <row r="205">
      <c r="A205" s="66" t="s">
        <v>179</v>
      </c>
      <c r="B205" s="66">
        <v>2384.0</v>
      </c>
      <c r="C205" s="66">
        <v>3.0</v>
      </c>
      <c r="D205" s="66">
        <v>0.0</v>
      </c>
      <c r="F205" s="66">
        <v>0.392</v>
      </c>
      <c r="G205" s="66">
        <v>0.184</v>
      </c>
      <c r="H205" s="66">
        <v>0.023</v>
      </c>
      <c r="I205" s="66">
        <v>0.009</v>
      </c>
      <c r="J205" s="66">
        <v>0.87</v>
      </c>
      <c r="K205" s="66" t="s">
        <v>58</v>
      </c>
      <c r="L205" s="82">
        <v>44650.0</v>
      </c>
    </row>
    <row r="206">
      <c r="A206" s="66" t="s">
        <v>57</v>
      </c>
      <c r="B206" s="66">
        <v>2380.0</v>
      </c>
      <c r="C206" s="66">
        <v>2.0</v>
      </c>
      <c r="D206" s="66">
        <v>0.0</v>
      </c>
      <c r="F206" s="66">
        <v>1.289</v>
      </c>
      <c r="G206" s="66">
        <v>0.603</v>
      </c>
      <c r="H206" s="66">
        <v>0.052</v>
      </c>
      <c r="I206" s="66">
        <v>0.02</v>
      </c>
      <c r="J206" s="66">
        <v>1.42</v>
      </c>
      <c r="K206" s="81">
        <f>AVERAGE(0.75,0.67,0.6,0.57)</f>
        <v>0.6475</v>
      </c>
      <c r="L206" s="82">
        <v>44650.0</v>
      </c>
    </row>
    <row r="207">
      <c r="A207" s="66" t="s">
        <v>57</v>
      </c>
      <c r="B207" s="66">
        <v>2377.0</v>
      </c>
      <c r="C207" s="66">
        <v>3.0</v>
      </c>
      <c r="D207" s="66">
        <v>1.0</v>
      </c>
      <c r="F207" s="66">
        <v>2.578</v>
      </c>
      <c r="G207" s="66">
        <v>1.468</v>
      </c>
      <c r="H207" s="66">
        <v>0.619</v>
      </c>
      <c r="I207" s="66">
        <v>0.334</v>
      </c>
      <c r="J207" s="66">
        <v>9.49</v>
      </c>
      <c r="K207" s="81">
        <f>AVERAGE(2.32,1.99,2.16,2.32)</f>
        <v>2.1975</v>
      </c>
      <c r="L207" s="82">
        <v>44650.0</v>
      </c>
    </row>
    <row r="208">
      <c r="A208" s="66" t="s">
        <v>179</v>
      </c>
      <c r="B208" s="66">
        <v>2373.0</v>
      </c>
      <c r="C208" s="66">
        <v>2.0</v>
      </c>
      <c r="D208" s="66">
        <v>0.0</v>
      </c>
      <c r="F208" s="66">
        <v>0.654</v>
      </c>
      <c r="G208" s="66">
        <v>0.177</v>
      </c>
      <c r="H208" s="66">
        <v>0.051</v>
      </c>
      <c r="I208" s="66">
        <v>0.014</v>
      </c>
      <c r="J208" s="66">
        <v>1.08</v>
      </c>
      <c r="K208" s="81">
        <f>AVERAGE(0.89,0.82,1.02,1.27)</f>
        <v>1</v>
      </c>
      <c r="L208" s="82">
        <v>44650.0</v>
      </c>
    </row>
    <row r="209">
      <c r="A209" s="66" t="s">
        <v>179</v>
      </c>
      <c r="B209" s="66">
        <v>2383.0</v>
      </c>
      <c r="C209" s="66">
        <v>1.0</v>
      </c>
      <c r="D209" s="66">
        <v>0.0</v>
      </c>
      <c r="F209" s="66">
        <v>0.488</v>
      </c>
      <c r="G209" s="66">
        <v>0.239</v>
      </c>
      <c r="H209" s="66">
        <v>0.038</v>
      </c>
      <c r="I209" s="66">
        <v>0.017</v>
      </c>
      <c r="J209" s="66">
        <v>0.9</v>
      </c>
      <c r="K209" s="81">
        <f>AVERAGE(1.04,1.04,0.96,1.02)</f>
        <v>1.015</v>
      </c>
      <c r="L209" s="82">
        <v>44650.0</v>
      </c>
    </row>
    <row r="210">
      <c r="A210" s="66" t="s">
        <v>57</v>
      </c>
      <c r="B210" s="66">
        <v>2301.0</v>
      </c>
      <c r="C210" s="66">
        <v>3.0</v>
      </c>
      <c r="D210" s="66">
        <v>1.0</v>
      </c>
      <c r="F210" s="66">
        <v>0.772</v>
      </c>
      <c r="G210" s="66">
        <v>0.462</v>
      </c>
      <c r="H210" s="66">
        <v>0.267</v>
      </c>
      <c r="I210" s="66">
        <v>0.151</v>
      </c>
      <c r="J210" s="66">
        <v>6.64</v>
      </c>
      <c r="K210" s="81">
        <f>AVERAGE(1.41,1.42,1.43,1.51)</f>
        <v>1.4425</v>
      </c>
      <c r="L210" s="82">
        <v>44650.0</v>
      </c>
    </row>
    <row r="211">
      <c r="A211" s="66" t="s">
        <v>57</v>
      </c>
      <c r="B211" s="66">
        <v>2376.0</v>
      </c>
      <c r="C211" s="66">
        <v>1.0</v>
      </c>
      <c r="D211" s="66">
        <v>1.0</v>
      </c>
      <c r="F211" s="66">
        <v>4.579</v>
      </c>
      <c r="G211" s="66">
        <v>2.427</v>
      </c>
      <c r="H211" s="66">
        <v>0.699</v>
      </c>
      <c r="I211" s="66">
        <v>0.37</v>
      </c>
      <c r="J211" s="66">
        <v>7.68</v>
      </c>
      <c r="K211" s="81">
        <f>AVERAGE(2.47,2.49,2.47,2.42)</f>
        <v>2.4625</v>
      </c>
      <c r="L211" s="82">
        <v>44650.0</v>
      </c>
    </row>
    <row r="212">
      <c r="A212" s="66" t="s">
        <v>179</v>
      </c>
      <c r="B212" s="66">
        <v>2371.0</v>
      </c>
      <c r="C212" s="66">
        <v>1.0</v>
      </c>
      <c r="D212" s="66">
        <v>0.0</v>
      </c>
      <c r="F212" s="66">
        <v>0.449</v>
      </c>
      <c r="G212" s="66">
        <v>0.126</v>
      </c>
      <c r="H212" s="66">
        <v>0.029</v>
      </c>
      <c r="I212" s="66">
        <v>0.009</v>
      </c>
      <c r="J212" s="66">
        <v>1.24</v>
      </c>
      <c r="K212" s="81">
        <f>AVERAGE(0.49,0.51,0.46,0.59)</f>
        <v>0.5125</v>
      </c>
      <c r="L212" s="82">
        <v>44650.0</v>
      </c>
    </row>
    <row r="213">
      <c r="A213" s="66" t="s">
        <v>57</v>
      </c>
      <c r="B213" s="66">
        <v>2377.0</v>
      </c>
      <c r="C213" s="66">
        <v>1.0</v>
      </c>
      <c r="D213" s="66">
        <v>0.0</v>
      </c>
      <c r="F213" s="66">
        <v>2.633</v>
      </c>
      <c r="G213" s="66">
        <v>0.86</v>
      </c>
      <c r="H213" s="66">
        <v>0.469</v>
      </c>
      <c r="I213" s="66">
        <v>0.143</v>
      </c>
      <c r="J213" s="66">
        <v>9.37</v>
      </c>
      <c r="K213" s="81">
        <f>AVERAGE(1.52,1.41,1.81,1.62)</f>
        <v>1.59</v>
      </c>
      <c r="L213" s="82">
        <v>44650.0</v>
      </c>
    </row>
    <row r="214">
      <c r="A214" s="66" t="s">
        <v>57</v>
      </c>
      <c r="B214" s="66">
        <v>2331.0</v>
      </c>
      <c r="C214" s="66">
        <v>3.0</v>
      </c>
      <c r="D214" s="66">
        <v>1.0</v>
      </c>
      <c r="F214" s="66">
        <v>1.136</v>
      </c>
      <c r="G214" s="66">
        <v>0.659</v>
      </c>
      <c r="H214" s="66">
        <v>0.156</v>
      </c>
      <c r="I214" s="66">
        <v>0.088</v>
      </c>
      <c r="J214" s="66">
        <v>4.87</v>
      </c>
      <c r="K214" s="81">
        <f>AVERAGE(1.21,1.25,1.35,1.1)</f>
        <v>1.2275</v>
      </c>
      <c r="L214" s="82">
        <v>44650.0</v>
      </c>
    </row>
    <row r="215">
      <c r="A215" s="66" t="s">
        <v>57</v>
      </c>
      <c r="B215" s="66">
        <v>2301.0</v>
      </c>
      <c r="C215" s="66">
        <v>2.0</v>
      </c>
      <c r="D215" s="66">
        <v>1.0</v>
      </c>
      <c r="F215" s="66">
        <v>1.453</v>
      </c>
      <c r="G215" s="66">
        <v>0.867</v>
      </c>
      <c r="H215" s="66">
        <v>0.123</v>
      </c>
      <c r="I215" s="66">
        <v>0.065</v>
      </c>
      <c r="J215" s="66">
        <v>3.35</v>
      </c>
      <c r="K215" s="81">
        <f>AVERAGE(1.1,1.07,1.21,1.3)</f>
        <v>1.17</v>
      </c>
      <c r="L215" s="82">
        <v>44650.0</v>
      </c>
    </row>
    <row r="216">
      <c r="A216" s="66" t="s">
        <v>57</v>
      </c>
      <c r="B216" s="66">
        <v>2354.0</v>
      </c>
      <c r="C216" s="66">
        <v>1.0</v>
      </c>
      <c r="D216" s="66">
        <v>1.0</v>
      </c>
      <c r="F216" s="66">
        <v>2.28</v>
      </c>
      <c r="G216" s="66">
        <v>1.209</v>
      </c>
      <c r="H216" s="66">
        <v>0.488</v>
      </c>
      <c r="I216" s="66">
        <v>0.257</v>
      </c>
      <c r="J216" s="66">
        <v>9.22</v>
      </c>
      <c r="K216" s="81">
        <f>AVERAGE(2.33,2.36,2.24,2.43)</f>
        <v>2.34</v>
      </c>
      <c r="L216" s="82">
        <v>44650.0</v>
      </c>
    </row>
    <row r="217">
      <c r="A217" s="66" t="s">
        <v>57</v>
      </c>
      <c r="B217" s="66">
        <v>2377.0</v>
      </c>
      <c r="C217" s="66">
        <v>1.0</v>
      </c>
      <c r="D217" s="66">
        <v>1.0</v>
      </c>
      <c r="F217" s="66">
        <v>1.398</v>
      </c>
      <c r="G217" s="66">
        <v>0.792</v>
      </c>
      <c r="H217" s="66">
        <v>0.91</v>
      </c>
      <c r="I217" s="66">
        <v>0.4</v>
      </c>
      <c r="J217" s="66">
        <v>7.78</v>
      </c>
      <c r="K217" s="81">
        <f>AVERAGE(2.25,2.23,2.21,2.3)</f>
        <v>2.2475</v>
      </c>
      <c r="L217" s="82">
        <v>44650.0</v>
      </c>
    </row>
    <row r="218">
      <c r="A218" s="66" t="s">
        <v>57</v>
      </c>
      <c r="B218" s="66">
        <v>2380.0</v>
      </c>
      <c r="C218" s="66">
        <v>3.0</v>
      </c>
      <c r="D218" s="66">
        <v>1.0</v>
      </c>
      <c r="F218" s="66">
        <v>0.656</v>
      </c>
      <c r="G218" s="66">
        <v>0.374</v>
      </c>
      <c r="H218" s="66">
        <v>0.067</v>
      </c>
      <c r="I218" s="66">
        <v>0.034</v>
      </c>
      <c r="J218" s="66">
        <v>1.7</v>
      </c>
      <c r="K218" s="81">
        <f>AVERAGE(1.08,1,0.94,1.21)</f>
        <v>1.0575</v>
      </c>
      <c r="L218" s="82">
        <v>44650.0</v>
      </c>
    </row>
    <row r="219">
      <c r="A219" s="66" t="s">
        <v>57</v>
      </c>
      <c r="B219" s="66">
        <v>2301.0</v>
      </c>
      <c r="C219" s="66">
        <v>1.0</v>
      </c>
      <c r="D219" s="66">
        <v>1.0</v>
      </c>
      <c r="F219" s="66">
        <v>3.336</v>
      </c>
      <c r="G219" s="66">
        <v>1.967</v>
      </c>
      <c r="H219" s="66">
        <v>0.218</v>
      </c>
      <c r="I219" s="66">
        <v>0.128</v>
      </c>
      <c r="J219" s="66">
        <v>4.83</v>
      </c>
      <c r="K219" s="81">
        <f>AVERAGE(1.81,1.86,1.61,1.59)</f>
        <v>1.7175</v>
      </c>
      <c r="L219" s="82">
        <v>44650.0</v>
      </c>
    </row>
    <row r="220">
      <c r="A220" s="66" t="s">
        <v>57</v>
      </c>
      <c r="B220" s="66">
        <v>2377.0</v>
      </c>
      <c r="C220" s="66">
        <v>2.0</v>
      </c>
      <c r="D220" s="66">
        <v>0.0</v>
      </c>
      <c r="F220" s="66">
        <v>2.961</v>
      </c>
      <c r="G220" s="66">
        <v>1.044</v>
      </c>
      <c r="H220" s="66">
        <v>0.489</v>
      </c>
      <c r="I220" s="66">
        <v>0.16</v>
      </c>
      <c r="J220" s="66">
        <v>9.55</v>
      </c>
      <c r="K220" s="81">
        <f>AVERAGE(1.46,1.58,1.61,1.42)</f>
        <v>1.5175</v>
      </c>
      <c r="L220" s="82">
        <v>44650.0</v>
      </c>
    </row>
    <row r="221">
      <c r="A221" s="66" t="s">
        <v>179</v>
      </c>
      <c r="B221" s="66">
        <v>2378.0</v>
      </c>
      <c r="C221" s="66">
        <v>3.0</v>
      </c>
      <c r="D221" s="66">
        <v>0.0</v>
      </c>
      <c r="F221" s="66">
        <v>1.254</v>
      </c>
      <c r="G221" s="66">
        <v>0.581</v>
      </c>
      <c r="H221" s="66">
        <v>0.17</v>
      </c>
      <c r="I221" s="66">
        <v>0.073</v>
      </c>
      <c r="J221" s="66">
        <v>2.33</v>
      </c>
      <c r="K221" s="81">
        <f>AVERAGE(1.12,1.1,1.13,0.99)</f>
        <v>1.085</v>
      </c>
      <c r="L221" s="82">
        <v>44650.0</v>
      </c>
    </row>
    <row r="222">
      <c r="A222" s="66" t="s">
        <v>179</v>
      </c>
      <c r="B222" s="66">
        <v>2379.0</v>
      </c>
      <c r="C222" s="66">
        <v>2.0</v>
      </c>
      <c r="D222" s="66">
        <v>0.0</v>
      </c>
      <c r="F222" s="66">
        <v>0.416</v>
      </c>
      <c r="G222" s="66">
        <v>0.211</v>
      </c>
      <c r="H222" s="66">
        <v>0.046</v>
      </c>
      <c r="I222" s="66">
        <v>0.022</v>
      </c>
      <c r="J222" s="66">
        <v>1.05</v>
      </c>
      <c r="K222" s="66" t="s">
        <v>58</v>
      </c>
      <c r="L222" s="82">
        <v>44650.0</v>
      </c>
    </row>
    <row r="223">
      <c r="A223" s="66" t="s">
        <v>57</v>
      </c>
      <c r="B223" s="66">
        <v>2345.0</v>
      </c>
      <c r="C223" s="66">
        <v>1.0</v>
      </c>
      <c r="D223" s="66">
        <v>1.0</v>
      </c>
      <c r="F223" s="66">
        <v>1.696</v>
      </c>
      <c r="G223" s="66">
        <v>0.943</v>
      </c>
      <c r="H223" s="66">
        <v>0.418</v>
      </c>
      <c r="I223" s="66">
        <v>0.209</v>
      </c>
      <c r="J223" s="66">
        <v>6.84</v>
      </c>
      <c r="K223" s="81">
        <f>AVERAGE(1.83,1.89,1.73,1.88)</f>
        <v>1.8325</v>
      </c>
      <c r="L223" s="82">
        <v>44650.0</v>
      </c>
    </row>
    <row r="224">
      <c r="A224" s="66" t="s">
        <v>179</v>
      </c>
      <c r="B224" s="66">
        <v>2347.0</v>
      </c>
      <c r="C224" s="66">
        <v>2.0</v>
      </c>
      <c r="D224" s="66">
        <v>0.0</v>
      </c>
      <c r="F224" s="66">
        <v>0.434</v>
      </c>
      <c r="G224" s="66">
        <v>0.152</v>
      </c>
      <c r="H224" s="66">
        <v>0.062</v>
      </c>
      <c r="I224" s="66">
        <v>0.018</v>
      </c>
      <c r="J224" s="66">
        <v>1.09</v>
      </c>
      <c r="K224" s="81">
        <f>AVERAGE(0.77,0.82,0.86,0.82)</f>
        <v>0.8175</v>
      </c>
      <c r="L224" s="82">
        <v>44650.0</v>
      </c>
    </row>
    <row r="225">
      <c r="A225" s="66" t="s">
        <v>179</v>
      </c>
      <c r="B225" s="66">
        <v>2009.0</v>
      </c>
      <c r="C225" s="66">
        <v>5.0</v>
      </c>
      <c r="D225" s="66">
        <v>0.0</v>
      </c>
      <c r="F225" s="66">
        <v>0.527</v>
      </c>
      <c r="G225" s="66">
        <v>0.167</v>
      </c>
      <c r="H225" s="66">
        <v>0.045</v>
      </c>
      <c r="I225" s="66">
        <v>0.014</v>
      </c>
      <c r="J225" s="66">
        <v>1.38</v>
      </c>
      <c r="K225" s="81">
        <f>AVERAGE(1.26,1.4,1.55,1.32)</f>
        <v>1.3825</v>
      </c>
      <c r="L225" s="82">
        <v>44650.0</v>
      </c>
    </row>
    <row r="226">
      <c r="A226" s="66" t="s">
        <v>179</v>
      </c>
      <c r="B226" s="66">
        <v>2343.0</v>
      </c>
      <c r="C226" s="66">
        <v>2.0</v>
      </c>
      <c r="D226" s="66">
        <v>0.0</v>
      </c>
      <c r="F226" s="66">
        <v>0.751</v>
      </c>
      <c r="G226" s="66">
        <v>0.262</v>
      </c>
      <c r="H226" s="66">
        <v>0.123</v>
      </c>
      <c r="I226" s="66">
        <v>0.039</v>
      </c>
      <c r="J226" s="66">
        <v>2.64</v>
      </c>
      <c r="K226" s="81">
        <f>AVERAGE(1.27,1.21,1.12,1.25)</f>
        <v>1.2125</v>
      </c>
      <c r="L226" s="82">
        <v>44650.0</v>
      </c>
    </row>
    <row r="227">
      <c r="A227" s="66" t="s">
        <v>57</v>
      </c>
      <c r="B227" s="66">
        <v>2380.0</v>
      </c>
      <c r="C227" s="66">
        <v>2.0</v>
      </c>
      <c r="D227" s="66">
        <v>1.0</v>
      </c>
      <c r="F227" s="66">
        <v>1.276</v>
      </c>
      <c r="G227" s="66">
        <v>0.694</v>
      </c>
      <c r="H227" s="66">
        <v>0.279</v>
      </c>
      <c r="I227" s="66">
        <v>0.145</v>
      </c>
      <c r="J227" s="66">
        <v>5.87</v>
      </c>
      <c r="K227" s="81">
        <f>AVERAGE(1.6,1.6,1.6,1.58)</f>
        <v>1.595</v>
      </c>
      <c r="L227" s="82">
        <v>44650.0</v>
      </c>
    </row>
    <row r="228">
      <c r="A228" s="66" t="s">
        <v>57</v>
      </c>
      <c r="B228" s="66">
        <v>2380.0</v>
      </c>
      <c r="C228" s="66">
        <v>1.0</v>
      </c>
      <c r="D228" s="66">
        <v>0.0</v>
      </c>
      <c r="F228" s="66">
        <v>0.379</v>
      </c>
      <c r="G228" s="66">
        <v>0.101</v>
      </c>
      <c r="H228" s="66">
        <v>0.033</v>
      </c>
      <c r="I228" s="66">
        <v>0.01</v>
      </c>
      <c r="J228" s="66">
        <v>1.32</v>
      </c>
      <c r="K228" s="66" t="s">
        <v>58</v>
      </c>
      <c r="L228" s="82">
        <v>44650.0</v>
      </c>
    </row>
    <row r="229">
      <c r="A229" s="66" t="s">
        <v>57</v>
      </c>
      <c r="B229" s="66">
        <v>2345.0</v>
      </c>
      <c r="C229" s="66">
        <v>3.0</v>
      </c>
      <c r="D229" s="66">
        <v>1.0</v>
      </c>
      <c r="F229" s="66">
        <v>2.008</v>
      </c>
      <c r="G229" s="66">
        <v>1.122</v>
      </c>
      <c r="H229" s="66">
        <v>0.618</v>
      </c>
      <c r="I229" s="66">
        <v>0.33</v>
      </c>
      <c r="J229" s="66">
        <v>10.37</v>
      </c>
      <c r="K229" s="81">
        <f>AVERAGE(1.99,1.92,1.93,1.94)</f>
        <v>1.945</v>
      </c>
      <c r="L229" s="82">
        <v>44650.0</v>
      </c>
    </row>
    <row r="230">
      <c r="A230" s="66" t="s">
        <v>179</v>
      </c>
      <c r="B230" s="66">
        <v>2009.0</v>
      </c>
      <c r="C230" s="66">
        <v>3.0</v>
      </c>
      <c r="D230" s="66">
        <v>0.0</v>
      </c>
      <c r="F230" s="66">
        <v>0.617</v>
      </c>
      <c r="G230" s="66">
        <v>0.249</v>
      </c>
      <c r="H230" s="66">
        <v>0.059</v>
      </c>
      <c r="I230" s="66">
        <v>0.024</v>
      </c>
      <c r="J230" s="66">
        <v>1.41</v>
      </c>
      <c r="K230" s="81">
        <f>AVERAGE(0.96,1.12,1.02,1.14)</f>
        <v>1.06</v>
      </c>
      <c r="L230" s="82">
        <v>44650.0</v>
      </c>
    </row>
    <row r="231">
      <c r="A231" s="66" t="s">
        <v>179</v>
      </c>
      <c r="B231" s="66">
        <v>2346.0</v>
      </c>
      <c r="C231" s="66">
        <v>2.0</v>
      </c>
      <c r="D231" s="66">
        <v>0.0</v>
      </c>
      <c r="F231" s="66">
        <v>0.742</v>
      </c>
      <c r="G231" s="66">
        <v>0.326</v>
      </c>
      <c r="H231" s="66">
        <v>0.093</v>
      </c>
      <c r="I231" s="66">
        <v>0.038</v>
      </c>
      <c r="J231" s="66">
        <v>2.52</v>
      </c>
      <c r="K231" s="81">
        <f>AVERAGE(0.91,0.93,1.04,1.12)</f>
        <v>1</v>
      </c>
      <c r="L231" s="82">
        <v>44650.0</v>
      </c>
    </row>
    <row r="232">
      <c r="A232" s="66" t="s">
        <v>179</v>
      </c>
      <c r="B232" s="66">
        <v>2373.0</v>
      </c>
      <c r="C232" s="66">
        <v>1.0</v>
      </c>
      <c r="D232" s="66">
        <v>0.0</v>
      </c>
      <c r="F232" s="66">
        <v>0.452</v>
      </c>
      <c r="G232" s="66">
        <v>0.125</v>
      </c>
      <c r="H232" s="66">
        <v>0.047</v>
      </c>
      <c r="I232" s="66">
        <v>0.014</v>
      </c>
      <c r="J232" s="66">
        <v>1.36</v>
      </c>
      <c r="K232" s="81">
        <f>AVERAGE(0.94,0.98,0.78,0.78)</f>
        <v>0.87</v>
      </c>
      <c r="L232" s="82">
        <v>44650.0</v>
      </c>
    </row>
    <row r="233">
      <c r="A233" s="66" t="s">
        <v>179</v>
      </c>
      <c r="B233" s="66">
        <v>2382.0</v>
      </c>
      <c r="C233" s="66">
        <v>2.0</v>
      </c>
      <c r="D233" s="66">
        <v>0.0</v>
      </c>
      <c r="F233" s="66">
        <v>0.812</v>
      </c>
      <c r="G233" s="66">
        <v>0.411</v>
      </c>
      <c r="H233" s="66">
        <v>0.15</v>
      </c>
      <c r="I233" s="66">
        <v>0.069</v>
      </c>
      <c r="J233" s="66">
        <v>3.37</v>
      </c>
      <c r="K233" s="81">
        <f>AVERAGE(0.96,1.06,1.04,0.92)</f>
        <v>0.995</v>
      </c>
      <c r="L233" s="82">
        <v>44650.0</v>
      </c>
    </row>
    <row r="234">
      <c r="A234" s="66" t="s">
        <v>57</v>
      </c>
      <c r="B234" s="66">
        <v>2376.0</v>
      </c>
      <c r="C234" s="66">
        <v>2.0</v>
      </c>
      <c r="D234" s="66">
        <v>1.0</v>
      </c>
      <c r="F234" s="66">
        <v>2.119</v>
      </c>
      <c r="G234" s="66">
        <v>1.161</v>
      </c>
      <c r="H234" s="66">
        <v>0.293</v>
      </c>
      <c r="I234" s="66">
        <v>0.158</v>
      </c>
      <c r="J234" s="66">
        <v>5.71</v>
      </c>
      <c r="K234" s="81">
        <f>AVERAGE(1.58,1.6,1.71,1.59)</f>
        <v>1.62</v>
      </c>
      <c r="L234" s="82">
        <v>44650.0</v>
      </c>
    </row>
    <row r="235">
      <c r="A235" s="66" t="s">
        <v>57</v>
      </c>
      <c r="B235" s="66">
        <v>2380.0</v>
      </c>
      <c r="C235" s="66">
        <v>1.0</v>
      </c>
      <c r="D235" s="66">
        <v>1.0</v>
      </c>
      <c r="F235" s="66">
        <v>0.534</v>
      </c>
      <c r="G235" s="66">
        <v>0.287</v>
      </c>
      <c r="H235" s="66">
        <v>0.073</v>
      </c>
      <c r="I235" s="66">
        <v>0.034</v>
      </c>
      <c r="J235" s="66">
        <v>1.9</v>
      </c>
      <c r="K235" s="81">
        <f>AVERAGE(0.84,0.86,0.93,0.82)</f>
        <v>0.8625</v>
      </c>
      <c r="L235" s="82">
        <v>44650.0</v>
      </c>
    </row>
    <row r="236">
      <c r="A236" s="66" t="s">
        <v>57</v>
      </c>
      <c r="B236" s="66">
        <v>2352.0</v>
      </c>
      <c r="C236" s="66">
        <v>1.0</v>
      </c>
      <c r="D236" s="66">
        <v>0.0</v>
      </c>
      <c r="F236" s="66">
        <v>0.606</v>
      </c>
      <c r="G236" s="66">
        <v>0.27</v>
      </c>
      <c r="H236" s="66">
        <v>0.032</v>
      </c>
      <c r="I236" s="66">
        <v>0.013</v>
      </c>
      <c r="J236" s="66">
        <v>1.86</v>
      </c>
      <c r="K236" s="66" t="s">
        <v>58</v>
      </c>
      <c r="L236" s="82">
        <v>44650.0</v>
      </c>
    </row>
    <row r="237">
      <c r="A237" s="66" t="s">
        <v>179</v>
      </c>
      <c r="B237" s="66">
        <v>2370.0</v>
      </c>
      <c r="C237" s="66">
        <v>3.0</v>
      </c>
      <c r="D237" s="66">
        <v>0.0</v>
      </c>
      <c r="F237" s="66">
        <v>0.218</v>
      </c>
      <c r="G237" s="66">
        <v>0.065</v>
      </c>
      <c r="H237" s="66">
        <v>0.02</v>
      </c>
      <c r="I237" s="66">
        <v>0.007</v>
      </c>
      <c r="J237" s="66">
        <v>0.84</v>
      </c>
      <c r="K237" s="66" t="s">
        <v>58</v>
      </c>
      <c r="L237" s="82">
        <v>44650.0</v>
      </c>
    </row>
    <row r="238">
      <c r="A238" s="66" t="s">
        <v>57</v>
      </c>
      <c r="B238" s="66">
        <v>2354.0</v>
      </c>
      <c r="C238" s="66">
        <v>2.0</v>
      </c>
      <c r="D238" s="66">
        <v>1.0</v>
      </c>
      <c r="F238" s="66">
        <v>2.269</v>
      </c>
      <c r="G238" s="66">
        <v>1.259</v>
      </c>
      <c r="H238" s="66">
        <v>0.313</v>
      </c>
      <c r="I238" s="66">
        <v>0.17</v>
      </c>
      <c r="J238" s="66">
        <v>7.09</v>
      </c>
      <c r="K238" s="81">
        <f>AVERAGE(1.81,1.84,1.72,1.88)</f>
        <v>1.8125</v>
      </c>
      <c r="L238" s="82">
        <v>44650.0</v>
      </c>
    </row>
    <row r="239">
      <c r="A239" s="66" t="s">
        <v>179</v>
      </c>
      <c r="B239" s="66">
        <v>2378.0</v>
      </c>
      <c r="C239" s="66">
        <v>2.0</v>
      </c>
      <c r="D239" s="66">
        <v>0.0</v>
      </c>
      <c r="F239" s="66">
        <v>1.068</v>
      </c>
      <c r="G239" s="66">
        <v>0.506</v>
      </c>
      <c r="H239" s="66">
        <v>0.294</v>
      </c>
      <c r="I239" s="66">
        <v>0.125</v>
      </c>
      <c r="J239" s="66">
        <v>4.11</v>
      </c>
      <c r="K239" s="81">
        <f>AVERAGE(1.4,1.46,1.63,1.81)</f>
        <v>1.575</v>
      </c>
      <c r="L239" s="82">
        <v>44650.0</v>
      </c>
    </row>
    <row r="240">
      <c r="A240" s="66" t="s">
        <v>179</v>
      </c>
      <c r="B240" s="66">
        <v>2382.0</v>
      </c>
      <c r="C240" s="66">
        <v>3.0</v>
      </c>
      <c r="D240" s="66">
        <v>0.0</v>
      </c>
      <c r="F240" s="66">
        <v>0.876</v>
      </c>
      <c r="G240" s="66">
        <v>0.432</v>
      </c>
      <c r="H240" s="66">
        <v>0.05</v>
      </c>
      <c r="I240" s="66">
        <v>0.021</v>
      </c>
      <c r="J240" s="66">
        <v>1.24</v>
      </c>
      <c r="K240" s="81">
        <f>AVERAGE(0.96,1.1,1.24,1.05)</f>
        <v>1.0875</v>
      </c>
      <c r="L240" s="82">
        <v>44650.0</v>
      </c>
    </row>
    <row r="241">
      <c r="A241" s="66" t="s">
        <v>179</v>
      </c>
      <c r="B241" s="66">
        <v>2381.0</v>
      </c>
      <c r="C241" s="66">
        <v>1.0</v>
      </c>
      <c r="D241" s="66">
        <v>0.0</v>
      </c>
      <c r="F241" s="66">
        <v>0.826</v>
      </c>
      <c r="G241" s="66">
        <v>0.387</v>
      </c>
      <c r="H241" s="66">
        <v>0.092</v>
      </c>
      <c r="I241" s="66">
        <v>0.037</v>
      </c>
      <c r="J241" s="66">
        <v>1.49</v>
      </c>
      <c r="K241" s="81">
        <f>AVERAGE(1.26,1.19,1.19,1.49)</f>
        <v>1.2825</v>
      </c>
      <c r="L241" s="82">
        <v>44650.0</v>
      </c>
    </row>
    <row r="242">
      <c r="A242" s="66" t="s">
        <v>57</v>
      </c>
      <c r="B242" s="66">
        <v>2352.0</v>
      </c>
      <c r="C242" s="66">
        <v>2.0</v>
      </c>
      <c r="D242" s="66">
        <v>0.0</v>
      </c>
      <c r="F242" s="66">
        <v>0.294</v>
      </c>
      <c r="G242" s="66">
        <v>0.131</v>
      </c>
      <c r="H242" s="66">
        <v>0.039</v>
      </c>
      <c r="I242" s="66">
        <v>0.015</v>
      </c>
      <c r="J242" s="66">
        <v>2.18</v>
      </c>
      <c r="K242" s="66" t="s">
        <v>58</v>
      </c>
      <c r="L242" s="82">
        <v>44650.0</v>
      </c>
    </row>
    <row r="243">
      <c r="A243" s="66" t="s">
        <v>179</v>
      </c>
      <c r="B243" s="66">
        <v>2347.0</v>
      </c>
      <c r="C243" s="66">
        <v>1.0</v>
      </c>
      <c r="D243" s="66">
        <v>0.0</v>
      </c>
      <c r="F243" s="66">
        <v>1.027</v>
      </c>
      <c r="G243" s="66">
        <v>0.357</v>
      </c>
      <c r="H243" s="66">
        <v>0.094</v>
      </c>
      <c r="I243" s="66">
        <v>0.028</v>
      </c>
      <c r="J243" s="66">
        <v>1.29</v>
      </c>
      <c r="K243" s="66" t="s">
        <v>58</v>
      </c>
      <c r="L243" s="82">
        <v>44650.0</v>
      </c>
    </row>
    <row r="244">
      <c r="A244" s="66" t="s">
        <v>179</v>
      </c>
      <c r="B244" s="66">
        <v>2370.0</v>
      </c>
      <c r="C244" s="66">
        <v>2.0</v>
      </c>
      <c r="D244" s="66">
        <v>0.0</v>
      </c>
      <c r="F244" s="66">
        <v>0.249</v>
      </c>
      <c r="G244" s="66">
        <v>0.073</v>
      </c>
      <c r="H244" s="66">
        <v>0.014</v>
      </c>
      <c r="I244" s="66">
        <v>0.003</v>
      </c>
      <c r="J244" s="66">
        <v>0.75</v>
      </c>
      <c r="K244" s="66" t="s">
        <v>58</v>
      </c>
      <c r="L244" s="82">
        <v>44650.0</v>
      </c>
    </row>
    <row r="245">
      <c r="A245" s="66" t="s">
        <v>57</v>
      </c>
      <c r="B245" s="66">
        <v>2354.0</v>
      </c>
      <c r="C245" s="66">
        <v>3.0</v>
      </c>
      <c r="D245" s="66">
        <v>0.0</v>
      </c>
      <c r="F245" s="66">
        <v>0.215</v>
      </c>
      <c r="G245" s="66">
        <v>0.057</v>
      </c>
      <c r="H245" s="66">
        <v>0.035</v>
      </c>
      <c r="I245" s="66">
        <v>0.01</v>
      </c>
      <c r="J245" s="66">
        <v>1.35</v>
      </c>
      <c r="K245" s="66" t="s">
        <v>58</v>
      </c>
      <c r="L245" s="82">
        <v>44650.0</v>
      </c>
    </row>
    <row r="246">
      <c r="A246" s="66" t="s">
        <v>57</v>
      </c>
      <c r="B246" s="66">
        <v>2352.0</v>
      </c>
      <c r="C246" s="66">
        <v>2.0</v>
      </c>
      <c r="D246" s="66">
        <v>1.0</v>
      </c>
      <c r="F246" s="66">
        <v>0.782</v>
      </c>
      <c r="G246" s="66">
        <v>0.486</v>
      </c>
      <c r="H246" s="66">
        <v>0.242</v>
      </c>
      <c r="I246" s="66">
        <v>0.131</v>
      </c>
      <c r="J246" s="66">
        <v>6.0</v>
      </c>
      <c r="K246" s="81">
        <f>AVERAGE(1.45,1.51,1.51,1.44)</f>
        <v>1.4775</v>
      </c>
      <c r="L246" s="82">
        <v>44650.0</v>
      </c>
    </row>
    <row r="247">
      <c r="A247" s="66" t="s">
        <v>179</v>
      </c>
      <c r="B247" s="66">
        <v>2360.0</v>
      </c>
      <c r="C247" s="66">
        <v>2.0</v>
      </c>
      <c r="D247" s="66">
        <v>0.0</v>
      </c>
      <c r="F247" s="66">
        <v>0.764</v>
      </c>
      <c r="G247" s="66">
        <v>0.327</v>
      </c>
      <c r="H247" s="66">
        <v>0.049</v>
      </c>
      <c r="I247" s="66">
        <v>0.016</v>
      </c>
      <c r="J247" s="66">
        <v>1.2</v>
      </c>
      <c r="K247" s="66" t="s">
        <v>58</v>
      </c>
      <c r="L247" s="82">
        <v>44650.0</v>
      </c>
    </row>
    <row r="248">
      <c r="A248" s="66" t="s">
        <v>179</v>
      </c>
      <c r="B248" s="66">
        <v>2020.0</v>
      </c>
      <c r="C248" s="66">
        <v>1.0</v>
      </c>
      <c r="D248" s="66">
        <v>0.0</v>
      </c>
      <c r="F248" s="66">
        <v>0.803</v>
      </c>
      <c r="G248" s="66">
        <v>0.361</v>
      </c>
      <c r="H248" s="66">
        <v>0.104</v>
      </c>
      <c r="I248" s="66">
        <v>0.041</v>
      </c>
      <c r="J248" s="66">
        <v>1.6</v>
      </c>
      <c r="K248" s="81">
        <f>AVERAGE(1.27,1.02,1.22,1.48)</f>
        <v>1.2475</v>
      </c>
      <c r="L248" s="82">
        <v>44650.0</v>
      </c>
    </row>
    <row r="249">
      <c r="A249" s="66" t="s">
        <v>179</v>
      </c>
      <c r="B249" s="66">
        <v>2381.0</v>
      </c>
      <c r="C249" s="66">
        <v>2.0</v>
      </c>
      <c r="D249" s="66">
        <v>0.0</v>
      </c>
      <c r="F249" s="66">
        <v>1.067</v>
      </c>
      <c r="G249" s="66">
        <v>0.496</v>
      </c>
      <c r="H249" s="66">
        <v>0.106</v>
      </c>
      <c r="I249" s="66">
        <v>0.044</v>
      </c>
      <c r="J249" s="66">
        <v>2.03</v>
      </c>
      <c r="K249" s="81">
        <f>AVERAGE(1.32,1.21,1.24,1.3)</f>
        <v>1.2675</v>
      </c>
      <c r="L249" s="82">
        <v>44650.0</v>
      </c>
    </row>
    <row r="250">
      <c r="A250" s="66" t="s">
        <v>179</v>
      </c>
      <c r="B250" s="66">
        <v>2384.0</v>
      </c>
      <c r="C250" s="66">
        <v>1.0</v>
      </c>
      <c r="D250" s="66">
        <v>0.0</v>
      </c>
      <c r="F250" s="66">
        <v>0.388</v>
      </c>
      <c r="G250" s="66">
        <v>0.182</v>
      </c>
      <c r="H250" s="66">
        <v>0.022</v>
      </c>
      <c r="I250" s="66">
        <v>0.008</v>
      </c>
      <c r="J250" s="66">
        <v>0.77</v>
      </c>
      <c r="K250" s="66" t="s">
        <v>58</v>
      </c>
      <c r="L250" s="82">
        <v>44650.0</v>
      </c>
    </row>
    <row r="251">
      <c r="A251" s="66" t="s">
        <v>179</v>
      </c>
      <c r="B251" s="66">
        <v>2343.0</v>
      </c>
      <c r="C251" s="66">
        <v>1.0</v>
      </c>
      <c r="D251" s="66">
        <v>0.0</v>
      </c>
      <c r="F251" s="66">
        <v>0.812</v>
      </c>
      <c r="G251" s="66">
        <v>0.291</v>
      </c>
      <c r="H251" s="66">
        <v>0.107</v>
      </c>
      <c r="I251" s="66">
        <v>0.035</v>
      </c>
      <c r="J251" s="66">
        <v>2.18</v>
      </c>
      <c r="K251" s="66" t="s">
        <v>58</v>
      </c>
      <c r="L251" s="82">
        <v>44650.0</v>
      </c>
    </row>
    <row r="252">
      <c r="A252" s="66" t="s">
        <v>57</v>
      </c>
      <c r="B252" s="66">
        <v>2352.0</v>
      </c>
      <c r="C252" s="66">
        <v>3.0</v>
      </c>
      <c r="D252" s="66">
        <v>1.0</v>
      </c>
      <c r="F252" s="66">
        <v>0.955</v>
      </c>
      <c r="G252" s="66">
        <v>0.605</v>
      </c>
      <c r="H252" s="66">
        <v>0.246</v>
      </c>
      <c r="I252" s="66">
        <v>0.147</v>
      </c>
      <c r="J252" s="66">
        <v>6.51</v>
      </c>
      <c r="K252" s="81">
        <f>AVERAGE(1.36,1.34,1.38,1.32)</f>
        <v>1.35</v>
      </c>
      <c r="L252" s="82">
        <v>44650.0</v>
      </c>
    </row>
    <row r="253">
      <c r="A253" s="66" t="s">
        <v>179</v>
      </c>
      <c r="B253" s="66">
        <v>2346.0</v>
      </c>
      <c r="C253" s="66">
        <v>3.0</v>
      </c>
      <c r="D253" s="66">
        <v>0.0</v>
      </c>
      <c r="F253" s="66">
        <v>0.637</v>
      </c>
      <c r="G253" s="66">
        <v>0.295</v>
      </c>
      <c r="H253" s="66">
        <v>0.146</v>
      </c>
      <c r="I253" s="66">
        <v>0.058</v>
      </c>
      <c r="J253" s="66">
        <v>2.83</v>
      </c>
      <c r="K253" s="81">
        <f>AVERAGE(0.99,1,1.02,1)</f>
        <v>1.0025</v>
      </c>
      <c r="L253" s="82">
        <v>44650.0</v>
      </c>
    </row>
    <row r="254">
      <c r="A254" s="66" t="s">
        <v>179</v>
      </c>
      <c r="B254" s="66">
        <v>2009.0</v>
      </c>
      <c r="C254" s="66">
        <v>2.0</v>
      </c>
      <c r="D254" s="66">
        <v>0.0</v>
      </c>
      <c r="F254" s="66">
        <v>0.674</v>
      </c>
      <c r="G254" s="66">
        <v>0.271</v>
      </c>
      <c r="H254" s="66">
        <v>0.08</v>
      </c>
      <c r="I254" s="66">
        <v>0.032</v>
      </c>
      <c r="J254" s="66">
        <v>1.33</v>
      </c>
      <c r="K254" s="81">
        <f>AVERAGE(0.7,0.76,0.84,0.99)</f>
        <v>0.8225</v>
      </c>
      <c r="L254" s="82">
        <v>44650.0</v>
      </c>
    </row>
    <row r="255">
      <c r="A255" s="66" t="s">
        <v>57</v>
      </c>
      <c r="B255" s="66">
        <v>2345.0</v>
      </c>
      <c r="C255" s="66">
        <v>2.0</v>
      </c>
      <c r="D255" s="66">
        <v>1.0</v>
      </c>
      <c r="F255" s="66">
        <v>2.153</v>
      </c>
      <c r="G255" s="66">
        <v>1.148</v>
      </c>
      <c r="H255" s="66">
        <v>0.625</v>
      </c>
      <c r="I255" s="66">
        <v>0.339</v>
      </c>
      <c r="J255" s="66">
        <v>10.37</v>
      </c>
      <c r="K255" s="81">
        <f>AVERAGE(1.98,2.01,1.91,1.98)</f>
        <v>1.97</v>
      </c>
      <c r="L255" s="82">
        <v>44650.0</v>
      </c>
    </row>
    <row r="256">
      <c r="A256" s="66" t="s">
        <v>179</v>
      </c>
      <c r="B256" s="66">
        <v>2383.0</v>
      </c>
      <c r="C256" s="66">
        <v>2.0</v>
      </c>
      <c r="D256" s="66">
        <v>0.0</v>
      </c>
      <c r="F256" s="66">
        <v>0.55</v>
      </c>
      <c r="G256" s="66">
        <v>0.276</v>
      </c>
      <c r="H256" s="66">
        <v>0.031</v>
      </c>
      <c r="I256" s="66">
        <v>0.012</v>
      </c>
      <c r="J256" s="66">
        <v>0.84</v>
      </c>
      <c r="K256" s="81">
        <f>AVERAGE(0.93,0.97,1.1,0.98)</f>
        <v>0.995</v>
      </c>
      <c r="L256" s="82">
        <v>44650.0</v>
      </c>
    </row>
    <row r="257">
      <c r="A257" s="66" t="s">
        <v>57</v>
      </c>
      <c r="B257" s="66">
        <v>2354.0</v>
      </c>
      <c r="C257" s="66">
        <v>3.0</v>
      </c>
      <c r="D257" s="66">
        <v>1.0</v>
      </c>
      <c r="F257" s="66">
        <v>3.496</v>
      </c>
      <c r="G257" s="66">
        <v>1.903</v>
      </c>
      <c r="H257" s="66">
        <v>0.522</v>
      </c>
      <c r="I257" s="66">
        <v>0.273</v>
      </c>
      <c r="J257" s="66">
        <v>7.98</v>
      </c>
      <c r="K257" s="81">
        <f>AVERAGE(2.34,2.12,2.25,2.2)</f>
        <v>2.2275</v>
      </c>
      <c r="L257" s="82">
        <v>44650.0</v>
      </c>
    </row>
    <row r="258">
      <c r="A258" s="66" t="s">
        <v>57</v>
      </c>
      <c r="B258" s="66">
        <v>2331.0</v>
      </c>
      <c r="C258" s="66">
        <v>2.0</v>
      </c>
      <c r="D258" s="66">
        <v>1.0</v>
      </c>
      <c r="F258" s="66">
        <v>1.453</v>
      </c>
      <c r="G258" s="66">
        <v>0.815</v>
      </c>
      <c r="H258" s="66">
        <v>0.304</v>
      </c>
      <c r="I258" s="66">
        <v>0.167</v>
      </c>
      <c r="J258" s="66">
        <v>8.12</v>
      </c>
      <c r="K258" s="81">
        <f>AVERAGE(1.39,1.57,1.37,1.43)</f>
        <v>1.44</v>
      </c>
      <c r="L258" s="82">
        <v>44650.0</v>
      </c>
    </row>
    <row r="259">
      <c r="A259" s="66" t="s">
        <v>179</v>
      </c>
      <c r="B259" s="66">
        <v>2009.0</v>
      </c>
      <c r="C259" s="66">
        <v>4.0</v>
      </c>
      <c r="D259" s="66">
        <v>0.0</v>
      </c>
      <c r="F259" s="66">
        <v>0.892</v>
      </c>
      <c r="G259" s="66">
        <v>0.334</v>
      </c>
      <c r="H259" s="66">
        <v>0.066</v>
      </c>
      <c r="I259" s="66">
        <v>0.023</v>
      </c>
      <c r="J259" s="66">
        <v>1.25</v>
      </c>
      <c r="K259" s="81">
        <f>AVERAGE(1.4,1.15,1.26,1.23)</f>
        <v>1.26</v>
      </c>
      <c r="L259" s="82">
        <v>44650.0</v>
      </c>
    </row>
    <row r="260">
      <c r="A260" s="66" t="s">
        <v>179</v>
      </c>
      <c r="B260" s="66">
        <v>2347.0</v>
      </c>
      <c r="C260" s="66">
        <v>3.0</v>
      </c>
      <c r="D260" s="66">
        <v>0.0</v>
      </c>
      <c r="F260" s="66">
        <v>0.627</v>
      </c>
      <c r="G260" s="66">
        <v>0.22</v>
      </c>
      <c r="H260" s="66">
        <v>0.088</v>
      </c>
      <c r="I260" s="66">
        <v>0.027</v>
      </c>
      <c r="J260" s="66">
        <v>1.08</v>
      </c>
      <c r="K260" s="66" t="s">
        <v>58</v>
      </c>
      <c r="L260" s="82">
        <v>44650.0</v>
      </c>
    </row>
    <row r="261">
      <c r="A261" s="66" t="s">
        <v>179</v>
      </c>
      <c r="B261" s="66">
        <v>2372.0</v>
      </c>
      <c r="C261" s="66">
        <v>2.0</v>
      </c>
      <c r="D261" s="66">
        <v>0.0</v>
      </c>
      <c r="F261" s="66">
        <v>0.325</v>
      </c>
      <c r="G261" s="66">
        <v>0.099</v>
      </c>
      <c r="H261" s="66">
        <v>0.03</v>
      </c>
      <c r="I261" s="66">
        <v>0.007</v>
      </c>
      <c r="J261" s="66">
        <v>0.88</v>
      </c>
      <c r="K261" s="66" t="s">
        <v>58</v>
      </c>
      <c r="L261" s="82">
        <v>44650.0</v>
      </c>
    </row>
    <row r="262">
      <c r="A262" s="66" t="s">
        <v>179</v>
      </c>
      <c r="B262" s="66">
        <v>2372.0</v>
      </c>
      <c r="C262" s="66">
        <v>3.0</v>
      </c>
      <c r="D262" s="66">
        <v>0.0</v>
      </c>
      <c r="F262" s="66">
        <v>0.876</v>
      </c>
      <c r="G262" s="66">
        <v>0.258</v>
      </c>
      <c r="H262" s="66">
        <v>0.058</v>
      </c>
      <c r="I262" s="66">
        <v>0.016</v>
      </c>
      <c r="J262" s="66">
        <v>1.26</v>
      </c>
      <c r="K262" s="66" t="s">
        <v>58</v>
      </c>
      <c r="L262" s="82">
        <v>44650.0</v>
      </c>
    </row>
    <row r="263">
      <c r="A263" s="66" t="s">
        <v>179</v>
      </c>
      <c r="B263" s="66">
        <v>2009.0</v>
      </c>
      <c r="C263" s="66">
        <v>1.0</v>
      </c>
      <c r="D263" s="66">
        <v>0.0</v>
      </c>
      <c r="F263" s="66">
        <v>0.502</v>
      </c>
      <c r="G263" s="66">
        <v>0.195</v>
      </c>
      <c r="H263" s="66">
        <v>0.049</v>
      </c>
      <c r="I263" s="66">
        <v>0.019</v>
      </c>
      <c r="J263" s="66">
        <v>1.28</v>
      </c>
      <c r="K263" s="81">
        <f>AVERAGE(0.77,0.86,0.93,0.9)</f>
        <v>0.865</v>
      </c>
      <c r="L263" s="82">
        <v>44650.0</v>
      </c>
    </row>
    <row r="264">
      <c r="A264" s="66" t="s">
        <v>179</v>
      </c>
      <c r="B264" s="66">
        <v>2370.0</v>
      </c>
      <c r="C264" s="66">
        <v>1.0</v>
      </c>
      <c r="D264" s="66">
        <v>0.0</v>
      </c>
      <c r="F264" s="66">
        <v>0.304</v>
      </c>
      <c r="G264" s="66">
        <v>0.088</v>
      </c>
      <c r="H264" s="66">
        <v>0.016</v>
      </c>
      <c r="I264" s="66">
        <v>0.005</v>
      </c>
      <c r="J264" s="66">
        <v>0.65</v>
      </c>
      <c r="K264" s="66" t="s">
        <v>58</v>
      </c>
      <c r="L264" s="82">
        <v>44650.0</v>
      </c>
    </row>
    <row r="265">
      <c r="A265" s="66" t="s">
        <v>179</v>
      </c>
      <c r="B265" s="66">
        <v>2346.0</v>
      </c>
      <c r="C265" s="66">
        <v>1.0</v>
      </c>
      <c r="D265" s="66">
        <v>0.0</v>
      </c>
      <c r="F265" s="66">
        <v>0.51</v>
      </c>
      <c r="G265" s="66">
        <v>0.232</v>
      </c>
      <c r="H265" s="66">
        <v>0.051</v>
      </c>
      <c r="I265" s="66">
        <v>0.02</v>
      </c>
      <c r="J265" s="66">
        <v>1.64</v>
      </c>
      <c r="K265" s="81">
        <f>AVERAGE(0.95,0.94,1.05,1.02)</f>
        <v>0.99</v>
      </c>
      <c r="L265" s="82">
        <v>44650.0</v>
      </c>
    </row>
    <row r="266">
      <c r="A266" s="66" t="s">
        <v>179</v>
      </c>
      <c r="B266" s="66">
        <v>2378.0</v>
      </c>
      <c r="C266" s="66">
        <v>1.0</v>
      </c>
      <c r="D266" s="66">
        <v>0.0</v>
      </c>
      <c r="F266" s="66">
        <v>1.182</v>
      </c>
      <c r="G266" s="66">
        <v>0.526</v>
      </c>
      <c r="H266" s="66">
        <v>0.167</v>
      </c>
      <c r="I266" s="66">
        <v>0.07</v>
      </c>
      <c r="J266" s="66">
        <v>3.38</v>
      </c>
      <c r="K266" s="81">
        <f>AVERAGE(1.15,1.25,1.4,1.37)</f>
        <v>1.2925</v>
      </c>
      <c r="L266" s="82">
        <v>44650.0</v>
      </c>
    </row>
    <row r="267">
      <c r="A267" s="66" t="s">
        <v>179</v>
      </c>
      <c r="B267" s="66">
        <v>2384.0</v>
      </c>
      <c r="C267" s="66">
        <v>2.0</v>
      </c>
      <c r="D267" s="66">
        <v>0.0</v>
      </c>
      <c r="F267" s="66">
        <v>0.587</v>
      </c>
      <c r="G267" s="66">
        <v>0.277</v>
      </c>
      <c r="H267" s="66">
        <v>0.035</v>
      </c>
      <c r="I267" s="66">
        <v>0.015</v>
      </c>
      <c r="J267" s="66">
        <v>0.98</v>
      </c>
      <c r="K267" s="81">
        <f>AVERAGE(1.01,1.05,1.07,0.97)</f>
        <v>1.025</v>
      </c>
      <c r="L267" s="82">
        <v>44650.0</v>
      </c>
    </row>
    <row r="268">
      <c r="A268" s="66" t="s">
        <v>179</v>
      </c>
      <c r="B268" s="66">
        <v>2381.0</v>
      </c>
      <c r="C268" s="66">
        <v>3.0</v>
      </c>
      <c r="D268" s="66">
        <v>0.0</v>
      </c>
      <c r="F268" s="66">
        <v>1.043</v>
      </c>
      <c r="G268" s="66">
        <v>0.468</v>
      </c>
      <c r="H268" s="66">
        <v>0.124</v>
      </c>
      <c r="I268" s="66">
        <v>0.051</v>
      </c>
      <c r="J268" s="66">
        <v>2.17</v>
      </c>
      <c r="K268" s="81">
        <f>AVERAGE(1.3,1.31,1.41,1.19)</f>
        <v>1.3025</v>
      </c>
      <c r="L268" s="82">
        <v>44650.0</v>
      </c>
    </row>
    <row r="269">
      <c r="A269" s="66" t="s">
        <v>179</v>
      </c>
      <c r="B269" s="66">
        <v>2343.0</v>
      </c>
      <c r="C269" s="66">
        <v>3.0</v>
      </c>
      <c r="D269" s="66">
        <v>0.0</v>
      </c>
      <c r="F269" s="66">
        <v>0.782</v>
      </c>
      <c r="G269" s="66">
        <v>0.277</v>
      </c>
      <c r="H269" s="66">
        <v>0.071</v>
      </c>
      <c r="I269" s="66">
        <v>0.022</v>
      </c>
      <c r="J269" s="66">
        <v>1.99</v>
      </c>
      <c r="K269" s="81">
        <f>AVERAGE(1.03,1.12,1.23,1.2)</f>
        <v>1.145</v>
      </c>
      <c r="L269" s="82">
        <v>44650.0</v>
      </c>
    </row>
    <row r="270">
      <c r="A270" s="66" t="s">
        <v>179</v>
      </c>
      <c r="B270" s="66">
        <v>2379.0</v>
      </c>
      <c r="C270" s="66">
        <v>1.0</v>
      </c>
      <c r="D270" s="66">
        <v>0.0</v>
      </c>
      <c r="F270" s="66">
        <v>1.024</v>
      </c>
      <c r="G270" s="66">
        <v>0.515</v>
      </c>
      <c r="H270" s="66">
        <v>0.094</v>
      </c>
      <c r="I270" s="66">
        <v>0.045</v>
      </c>
      <c r="J270" s="66">
        <v>1.47</v>
      </c>
      <c r="K270" s="81">
        <f>AVERAGE(1.15,1.14,1.39,1.41)</f>
        <v>1.2725</v>
      </c>
      <c r="L270" s="82">
        <v>44650.0</v>
      </c>
    </row>
    <row r="271">
      <c r="A271" s="66" t="s">
        <v>179</v>
      </c>
      <c r="B271" s="66">
        <v>2373.0</v>
      </c>
      <c r="C271" s="66">
        <v>3.0</v>
      </c>
      <c r="D271" s="66">
        <v>0.0</v>
      </c>
      <c r="F271" s="66">
        <v>0.37</v>
      </c>
      <c r="G271" s="66">
        <v>0.108</v>
      </c>
      <c r="H271" s="66">
        <v>0.064</v>
      </c>
      <c r="I271" s="66">
        <v>0.019</v>
      </c>
      <c r="J271" s="66">
        <v>1.3</v>
      </c>
      <c r="K271" s="66" t="s">
        <v>58</v>
      </c>
      <c r="L271" s="82">
        <v>44650.0</v>
      </c>
    </row>
    <row r="272">
      <c r="A272" s="66" t="s">
        <v>179</v>
      </c>
      <c r="B272" s="66">
        <v>2360.0</v>
      </c>
      <c r="C272" s="66">
        <v>1.0</v>
      </c>
      <c r="D272" s="66">
        <v>0.0</v>
      </c>
      <c r="F272" s="66">
        <v>0.412</v>
      </c>
      <c r="G272" s="66">
        <v>0.18</v>
      </c>
      <c r="H272" s="66">
        <v>0.026</v>
      </c>
      <c r="I272" s="66">
        <v>0.008</v>
      </c>
      <c r="J272" s="66">
        <v>0.83</v>
      </c>
      <c r="K272" s="66" t="s">
        <v>58</v>
      </c>
      <c r="L272" s="82">
        <v>44650.0</v>
      </c>
    </row>
    <row r="273">
      <c r="A273" s="66" t="s">
        <v>57</v>
      </c>
      <c r="B273" s="66">
        <v>2301.0</v>
      </c>
      <c r="C273" s="66">
        <v>3.0</v>
      </c>
      <c r="D273" s="66">
        <v>0.0</v>
      </c>
      <c r="F273" s="66">
        <v>0.234</v>
      </c>
      <c r="G273" s="66">
        <v>0.139</v>
      </c>
      <c r="H273" s="66">
        <v>0.042</v>
      </c>
      <c r="I273" s="66">
        <v>0.022</v>
      </c>
      <c r="J273" s="66">
        <v>1.02</v>
      </c>
      <c r="K273" s="66" t="s">
        <v>58</v>
      </c>
      <c r="L273" s="82">
        <v>44650.0</v>
      </c>
    </row>
    <row r="274">
      <c r="A274" s="66" t="s">
        <v>179</v>
      </c>
      <c r="B274" s="66">
        <v>2383.0</v>
      </c>
      <c r="C274" s="66">
        <v>3.0</v>
      </c>
      <c r="D274" s="66">
        <v>0.0</v>
      </c>
      <c r="F274" s="66">
        <v>0.751</v>
      </c>
      <c r="G274" s="66">
        <v>0.269</v>
      </c>
      <c r="H274" s="66">
        <v>0.075</v>
      </c>
      <c r="I274" s="66">
        <v>0.032</v>
      </c>
      <c r="J274" s="66">
        <v>1.44</v>
      </c>
      <c r="K274" s="81">
        <f>AVERAGE(1.14,1.13,1.23,1.14)</f>
        <v>1.16</v>
      </c>
      <c r="L274" s="82">
        <v>44650.0</v>
      </c>
    </row>
    <row r="275">
      <c r="A275" s="66" t="s">
        <v>179</v>
      </c>
      <c r="B275" s="66">
        <v>2020.0</v>
      </c>
      <c r="C275" s="66">
        <v>3.0</v>
      </c>
      <c r="D275" s="66">
        <v>0.0</v>
      </c>
      <c r="F275" s="66">
        <v>1.223</v>
      </c>
      <c r="G275" s="66">
        <v>0.539</v>
      </c>
      <c r="H275" s="66">
        <v>0.192</v>
      </c>
      <c r="I275" s="66">
        <v>0.07</v>
      </c>
      <c r="J275" s="66">
        <v>2.07</v>
      </c>
      <c r="K275" s="81">
        <f>AVERAGE(1.35,1.27,1.7,1.47)</f>
        <v>1.4475</v>
      </c>
      <c r="L275" s="82">
        <v>44650.0</v>
      </c>
    </row>
    <row r="276">
      <c r="A276" s="66" t="s">
        <v>179</v>
      </c>
      <c r="B276" s="66">
        <v>2371.0</v>
      </c>
      <c r="C276" s="66">
        <v>2.0</v>
      </c>
      <c r="D276" s="66">
        <v>0.0</v>
      </c>
      <c r="F276" s="66">
        <v>0.53</v>
      </c>
      <c r="G276" s="66">
        <v>0.152</v>
      </c>
      <c r="H276" s="66">
        <v>0.039</v>
      </c>
      <c r="I276" s="66">
        <v>0.012</v>
      </c>
      <c r="J276" s="66">
        <v>1.05</v>
      </c>
      <c r="K276" s="66" t="s">
        <v>58</v>
      </c>
      <c r="L276" s="82">
        <v>44650.0</v>
      </c>
    </row>
    <row r="277">
      <c r="A277" s="66" t="s">
        <v>179</v>
      </c>
      <c r="B277" s="66">
        <v>2007.0</v>
      </c>
      <c r="C277" s="66">
        <v>2.0</v>
      </c>
      <c r="D277" s="66">
        <v>0.0</v>
      </c>
      <c r="F277" s="66">
        <v>0.37</v>
      </c>
      <c r="G277" s="66">
        <v>0.194</v>
      </c>
      <c r="H277" s="66">
        <v>0.051</v>
      </c>
      <c r="I277" s="66">
        <v>0.022</v>
      </c>
      <c r="J277" s="66">
        <v>1.27</v>
      </c>
      <c r="K277" s="81">
        <f>AVERAGE(0.6,0.64,0.62,0.54)</f>
        <v>0.6</v>
      </c>
      <c r="L277" s="82">
        <v>44655.0</v>
      </c>
    </row>
    <row r="278">
      <c r="A278" s="66" t="s">
        <v>179</v>
      </c>
      <c r="B278" s="66">
        <v>2012.0</v>
      </c>
      <c r="C278" s="66">
        <v>2.0</v>
      </c>
      <c r="D278" s="66">
        <v>0.0</v>
      </c>
      <c r="F278" s="66">
        <v>0.342</v>
      </c>
      <c r="G278" s="66">
        <v>0.126</v>
      </c>
      <c r="H278" s="66">
        <v>0.036</v>
      </c>
      <c r="I278" s="66">
        <v>0.013</v>
      </c>
      <c r="J278" s="66">
        <v>1.3</v>
      </c>
      <c r="K278" s="81">
        <f>AVERAGE(0.74,0.69,0.6,0.6)</f>
        <v>0.6575</v>
      </c>
      <c r="L278" s="82">
        <v>44655.0</v>
      </c>
    </row>
    <row r="279">
      <c r="A279" s="66" t="s">
        <v>179</v>
      </c>
      <c r="B279" s="66">
        <v>1478.0</v>
      </c>
      <c r="C279" s="66">
        <v>3.0</v>
      </c>
      <c r="D279" s="66">
        <v>0.0</v>
      </c>
      <c r="F279" s="66">
        <v>0.596</v>
      </c>
      <c r="G279" s="66">
        <v>0.223</v>
      </c>
      <c r="H279" s="66">
        <v>0.112</v>
      </c>
      <c r="I279" s="66">
        <v>0.036</v>
      </c>
      <c r="J279" s="66">
        <v>2.98</v>
      </c>
      <c r="K279" s="81">
        <f>AVERAGE(0.97,1.55,1.21,0.99)</f>
        <v>1.18</v>
      </c>
      <c r="L279" s="82">
        <v>44655.0</v>
      </c>
    </row>
    <row r="280">
      <c r="A280" s="66" t="s">
        <v>179</v>
      </c>
      <c r="B280" s="66">
        <v>2031.0</v>
      </c>
      <c r="C280" s="66">
        <v>1.0</v>
      </c>
      <c r="D280" s="66">
        <v>0.0</v>
      </c>
      <c r="F280" s="66">
        <v>1.398</v>
      </c>
      <c r="G280" s="66">
        <v>0.732</v>
      </c>
      <c r="H280" s="66">
        <v>0.123</v>
      </c>
      <c r="I280" s="66">
        <v>0.06</v>
      </c>
      <c r="J280" s="66">
        <v>1.97</v>
      </c>
      <c r="K280" s="81">
        <f>AVERAGE(1.34,1.39,1.36,1.33)</f>
        <v>1.355</v>
      </c>
      <c r="L280" s="82">
        <v>44655.0</v>
      </c>
    </row>
    <row r="281">
      <c r="A281" s="66" t="s">
        <v>179</v>
      </c>
      <c r="B281" s="66">
        <v>2025.0</v>
      </c>
      <c r="C281" s="66">
        <v>2.0</v>
      </c>
      <c r="D281" s="66">
        <v>0.0</v>
      </c>
      <c r="F281" s="66">
        <v>0.79</v>
      </c>
      <c r="G281" s="66">
        <v>0.396</v>
      </c>
      <c r="H281" s="66">
        <v>0.059</v>
      </c>
      <c r="I281" s="66">
        <v>0.026</v>
      </c>
      <c r="J281" s="66">
        <v>1.49</v>
      </c>
      <c r="K281" s="81">
        <f>AVERAGE(0.99,1.03,1.1,0.95)</f>
        <v>1.0175</v>
      </c>
      <c r="L281" s="82">
        <v>44655.0</v>
      </c>
    </row>
    <row r="282">
      <c r="A282" s="66" t="s">
        <v>179</v>
      </c>
      <c r="B282" s="66">
        <v>2026.0</v>
      </c>
      <c r="C282" s="66">
        <v>3.0</v>
      </c>
      <c r="D282" s="66">
        <v>0.0</v>
      </c>
      <c r="F282" s="66">
        <v>0.42</v>
      </c>
      <c r="G282" s="66">
        <v>0.216</v>
      </c>
      <c r="H282" s="66">
        <v>0.069</v>
      </c>
      <c r="I282" s="66">
        <v>0.032</v>
      </c>
      <c r="J282" s="66">
        <v>1.81</v>
      </c>
      <c r="K282" s="81">
        <f>AVERAGE(0.77,0.88,0.8,0.68)</f>
        <v>0.7825</v>
      </c>
      <c r="L282" s="82">
        <v>44655.0</v>
      </c>
    </row>
    <row r="283">
      <c r="A283" s="66" t="s">
        <v>57</v>
      </c>
      <c r="B283" s="66">
        <v>2022.0</v>
      </c>
      <c r="C283" s="66">
        <v>2.0</v>
      </c>
      <c r="D283" s="66">
        <v>1.0</v>
      </c>
      <c r="F283" s="66">
        <v>0.829</v>
      </c>
      <c r="G283" s="66">
        <v>0.499</v>
      </c>
      <c r="H283" s="66">
        <v>0.091</v>
      </c>
      <c r="I283" s="66">
        <v>0.045</v>
      </c>
      <c r="J283" s="66">
        <v>2.2</v>
      </c>
      <c r="K283" s="81">
        <f>AVERAGE(1.6,1.38,1.24,1.34)</f>
        <v>1.39</v>
      </c>
      <c r="L283" s="82">
        <v>44655.0</v>
      </c>
    </row>
    <row r="284">
      <c r="A284" s="66" t="s">
        <v>179</v>
      </c>
      <c r="B284" s="66">
        <v>2015.0</v>
      </c>
      <c r="C284" s="66">
        <v>3.0</v>
      </c>
      <c r="D284" s="66">
        <v>0.0</v>
      </c>
      <c r="F284" s="66">
        <v>0.615</v>
      </c>
      <c r="G284" s="66">
        <v>0.302</v>
      </c>
      <c r="H284" s="66">
        <v>0.089</v>
      </c>
      <c r="I284" s="66">
        <v>0.035</v>
      </c>
      <c r="J284" s="66">
        <v>2.65</v>
      </c>
      <c r="K284" s="81">
        <f>AVERAGE(0.99,1,0.93,1.02)</f>
        <v>0.985</v>
      </c>
      <c r="L284" s="82">
        <v>44655.0</v>
      </c>
    </row>
    <row r="285">
      <c r="A285" s="66" t="s">
        <v>179</v>
      </c>
      <c r="B285" s="66">
        <v>2090.0</v>
      </c>
      <c r="C285" s="66">
        <v>1.0</v>
      </c>
      <c r="D285" s="66">
        <v>0.0</v>
      </c>
      <c r="F285" s="66">
        <v>0.699</v>
      </c>
      <c r="G285" s="66">
        <v>0.319</v>
      </c>
      <c r="H285" s="66">
        <v>0.089</v>
      </c>
      <c r="I285" s="66">
        <v>0.032</v>
      </c>
      <c r="J285" s="66">
        <v>2.08</v>
      </c>
      <c r="K285" s="81">
        <f>AVERAGE(1.03,0.91,0.95,0.91)</f>
        <v>0.95</v>
      </c>
      <c r="L285" s="82">
        <v>44655.0</v>
      </c>
    </row>
    <row r="286">
      <c r="A286" s="66" t="s">
        <v>57</v>
      </c>
      <c r="B286" s="66">
        <v>2030.0</v>
      </c>
      <c r="C286" s="66">
        <v>2.0</v>
      </c>
      <c r="D286" s="66">
        <v>1.0</v>
      </c>
      <c r="F286" s="66">
        <v>0.198</v>
      </c>
      <c r="G286" s="66">
        <v>0.107</v>
      </c>
      <c r="H286" s="66">
        <v>0.018</v>
      </c>
      <c r="I286" s="66">
        <v>0.006</v>
      </c>
      <c r="J286" s="66">
        <v>0.86</v>
      </c>
      <c r="K286" s="81">
        <f>AVERAGE(0.64,0.58,0.53,0.54)</f>
        <v>0.5725</v>
      </c>
      <c r="L286" s="82">
        <v>44655.0</v>
      </c>
    </row>
    <row r="287">
      <c r="A287" s="66" t="s">
        <v>57</v>
      </c>
      <c r="B287" s="66">
        <v>2022.0</v>
      </c>
      <c r="C287" s="66">
        <v>1.0</v>
      </c>
      <c r="D287" s="66">
        <v>0.0</v>
      </c>
      <c r="F287" s="66">
        <v>2.682</v>
      </c>
      <c r="G287" s="66">
        <v>1.41</v>
      </c>
      <c r="H287" s="66">
        <v>0.233</v>
      </c>
      <c r="I287" s="66">
        <v>0.098</v>
      </c>
      <c r="J287" s="66">
        <v>4.06</v>
      </c>
      <c r="K287" s="81">
        <f>AVERAGE(1.35,1.49,1.28,1.41)</f>
        <v>1.3825</v>
      </c>
      <c r="L287" s="82">
        <v>44655.0</v>
      </c>
    </row>
    <row r="288">
      <c r="A288" s="66" t="s">
        <v>179</v>
      </c>
      <c r="B288" s="66">
        <v>2088.0</v>
      </c>
      <c r="C288" s="66">
        <v>2.0</v>
      </c>
      <c r="D288" s="66">
        <v>0.0</v>
      </c>
      <c r="F288" s="66">
        <v>0.422</v>
      </c>
      <c r="G288" s="66">
        <v>0.179</v>
      </c>
      <c r="H288" s="66">
        <v>0.063</v>
      </c>
      <c r="I288" s="66">
        <v>0.024</v>
      </c>
      <c r="J288" s="66">
        <v>2.1</v>
      </c>
      <c r="K288" s="81">
        <f>AVERAGE(1.07,0.9,0.99,1.07)</f>
        <v>1.0075</v>
      </c>
      <c r="L288" s="82">
        <v>44655.0</v>
      </c>
    </row>
    <row r="289">
      <c r="A289" s="66" t="s">
        <v>57</v>
      </c>
      <c r="B289" s="66">
        <v>2093.0</v>
      </c>
      <c r="C289" s="66">
        <v>1.0</v>
      </c>
      <c r="D289" s="66">
        <v>0.0</v>
      </c>
      <c r="F289" s="66">
        <v>0.219</v>
      </c>
      <c r="G289" s="66">
        <v>0.14</v>
      </c>
      <c r="H289" s="66">
        <v>0.073</v>
      </c>
      <c r="I289" s="66">
        <v>0.034</v>
      </c>
      <c r="J289" s="66">
        <v>1.75</v>
      </c>
      <c r="K289" s="81">
        <f>AVERAGE(0.89,0.9,0.89,0.93)</f>
        <v>0.9025</v>
      </c>
      <c r="L289" s="82">
        <v>44655.0</v>
      </c>
    </row>
    <row r="290">
      <c r="A290" s="66" t="s">
        <v>57</v>
      </c>
      <c r="B290" s="66">
        <v>2023.0</v>
      </c>
      <c r="C290" s="66">
        <v>3.0</v>
      </c>
      <c r="D290" s="66">
        <v>0.0</v>
      </c>
      <c r="F290" s="66">
        <v>1.893</v>
      </c>
      <c r="G290" s="66">
        <v>1.027</v>
      </c>
      <c r="H290" s="66">
        <v>0.088</v>
      </c>
      <c r="I290" s="66">
        <v>0.041</v>
      </c>
      <c r="J290" s="66">
        <v>2.16</v>
      </c>
      <c r="K290" s="81">
        <f>AVERAGE(1.17,1.23,1.17,1.29)</f>
        <v>1.215</v>
      </c>
      <c r="L290" s="82">
        <v>44655.0</v>
      </c>
    </row>
    <row r="291">
      <c r="A291" s="66" t="s">
        <v>179</v>
      </c>
      <c r="B291" s="66">
        <v>2007.0</v>
      </c>
      <c r="C291" s="66">
        <v>3.0</v>
      </c>
      <c r="D291" s="66">
        <v>0.0</v>
      </c>
      <c r="F291" s="66">
        <v>1.023</v>
      </c>
      <c r="G291" s="66">
        <v>0.54</v>
      </c>
      <c r="H291" s="66">
        <v>0.199</v>
      </c>
      <c r="I291" s="66">
        <v>0.091</v>
      </c>
      <c r="J291" s="66">
        <v>5.73</v>
      </c>
      <c r="K291" s="81">
        <f>AVERAGE(1.37,1.27,1.38,1.35)</f>
        <v>1.3425</v>
      </c>
      <c r="L291" s="82">
        <v>44655.0</v>
      </c>
    </row>
    <row r="292">
      <c r="A292" s="66" t="s">
        <v>179</v>
      </c>
      <c r="B292" s="66">
        <v>2024.0</v>
      </c>
      <c r="C292" s="66">
        <v>3.0</v>
      </c>
      <c r="D292" s="66">
        <v>0.0</v>
      </c>
      <c r="F292" s="66">
        <v>1.599</v>
      </c>
      <c r="G292" s="66">
        <v>0.783</v>
      </c>
      <c r="H292" s="66">
        <v>0.134</v>
      </c>
      <c r="I292" s="66">
        <v>0.061</v>
      </c>
      <c r="J292" s="66">
        <v>1.47</v>
      </c>
      <c r="K292" s="81">
        <f>AVERAGE(1.66,1.63,1.51,1.8)</f>
        <v>1.65</v>
      </c>
      <c r="L292" s="82">
        <v>44655.0</v>
      </c>
    </row>
    <row r="293">
      <c r="A293" s="66" t="s">
        <v>179</v>
      </c>
      <c r="B293" s="66">
        <v>2014.0</v>
      </c>
      <c r="C293" s="66">
        <v>2.0</v>
      </c>
      <c r="D293" s="66">
        <v>0.0</v>
      </c>
      <c r="F293" s="66">
        <v>0.698</v>
      </c>
      <c r="G293" s="66">
        <v>0.301</v>
      </c>
      <c r="H293" s="66">
        <v>0.113</v>
      </c>
      <c r="I293" s="66">
        <v>0.037</v>
      </c>
      <c r="J293" s="66">
        <v>2.92</v>
      </c>
      <c r="K293" s="81">
        <f>AVERAGE(0.93,0.94,1.18,0.95)</f>
        <v>1</v>
      </c>
      <c r="L293" s="82">
        <v>44655.0</v>
      </c>
    </row>
    <row r="294">
      <c r="A294" s="66" t="s">
        <v>179</v>
      </c>
      <c r="B294" s="66">
        <v>2012.0</v>
      </c>
      <c r="C294" s="66">
        <v>3.0</v>
      </c>
      <c r="D294" s="66">
        <v>0.0</v>
      </c>
      <c r="F294" s="66">
        <v>0.131</v>
      </c>
      <c r="G294" s="66">
        <v>0.048</v>
      </c>
      <c r="H294" s="66">
        <v>0.014</v>
      </c>
      <c r="I294" s="66">
        <v>0.005</v>
      </c>
      <c r="J294" s="66">
        <v>0.92</v>
      </c>
      <c r="K294" s="66" t="s">
        <v>58</v>
      </c>
      <c r="L294" s="82">
        <v>44655.0</v>
      </c>
    </row>
    <row r="295">
      <c r="A295" s="66" t="s">
        <v>57</v>
      </c>
      <c r="B295" s="66">
        <v>2089.0</v>
      </c>
      <c r="C295" s="66">
        <v>1.0</v>
      </c>
      <c r="D295" s="66">
        <v>1.0</v>
      </c>
      <c r="F295" s="66">
        <v>1.761</v>
      </c>
      <c r="G295" s="66">
        <v>0.998</v>
      </c>
      <c r="H295" s="66">
        <v>0.26</v>
      </c>
      <c r="I295" s="66">
        <v>0.136</v>
      </c>
      <c r="J295" s="66">
        <v>4.82</v>
      </c>
      <c r="K295" s="81">
        <f>AVERAGE(1.69,1.49,1.78,1.63)</f>
        <v>1.6475</v>
      </c>
      <c r="L295" s="82">
        <v>44655.0</v>
      </c>
    </row>
    <row r="296">
      <c r="A296" s="66" t="s">
        <v>57</v>
      </c>
      <c r="B296" s="66">
        <v>2023.0</v>
      </c>
      <c r="C296" s="66">
        <v>2.0</v>
      </c>
      <c r="D296" s="66">
        <v>1.0</v>
      </c>
      <c r="F296" s="66">
        <v>0.857</v>
      </c>
      <c r="G296" s="66">
        <v>0.512</v>
      </c>
      <c r="H296" s="66">
        <v>0.121</v>
      </c>
      <c r="I296" s="66">
        <v>0.062</v>
      </c>
      <c r="J296" s="66">
        <v>1.53</v>
      </c>
      <c r="K296" s="81">
        <f>AVERAGE(1.75,1.85,1.92,2.03)</f>
        <v>1.8875</v>
      </c>
      <c r="L296" s="82">
        <v>44655.0</v>
      </c>
    </row>
    <row r="297">
      <c r="A297" s="66" t="s">
        <v>179</v>
      </c>
      <c r="B297" s="66">
        <v>2027.0</v>
      </c>
      <c r="C297" s="66">
        <v>2.0</v>
      </c>
      <c r="D297" s="66">
        <v>0.0</v>
      </c>
      <c r="F297" s="66">
        <v>1.086</v>
      </c>
      <c r="G297" s="66">
        <v>0.543</v>
      </c>
      <c r="H297" s="66">
        <v>0.087</v>
      </c>
      <c r="I297" s="66">
        <v>0.039</v>
      </c>
      <c r="J297" s="66">
        <v>1.43</v>
      </c>
      <c r="K297" s="81">
        <f>AVERAGE(1.05,1.05,1.02,1)</f>
        <v>1.03</v>
      </c>
      <c r="L297" s="82">
        <v>44655.0</v>
      </c>
    </row>
    <row r="298">
      <c r="A298" s="66" t="s">
        <v>57</v>
      </c>
      <c r="B298" s="66">
        <v>2028.0</v>
      </c>
      <c r="C298" s="66">
        <v>1.0</v>
      </c>
      <c r="D298" s="66">
        <v>1.0</v>
      </c>
      <c r="F298" s="66">
        <v>3.514</v>
      </c>
      <c r="G298" s="66">
        <v>1.894</v>
      </c>
      <c r="H298" s="66">
        <v>0.178</v>
      </c>
      <c r="I298" s="66">
        <v>0.08</v>
      </c>
      <c r="J298" s="66">
        <v>3.8</v>
      </c>
      <c r="K298" s="81">
        <f>AVERAGE(1.72,1.59,1.53,1.48)</f>
        <v>1.58</v>
      </c>
      <c r="L298" s="82">
        <v>44655.0</v>
      </c>
    </row>
    <row r="299">
      <c r="A299" s="66" t="s">
        <v>179</v>
      </c>
      <c r="B299" s="66">
        <v>2026.0</v>
      </c>
      <c r="C299" s="66">
        <v>1.0</v>
      </c>
      <c r="D299" s="66">
        <v>0.0</v>
      </c>
      <c r="F299" s="66">
        <v>0.821</v>
      </c>
      <c r="G299" s="66">
        <v>0.425</v>
      </c>
      <c r="H299" s="66">
        <v>0.128</v>
      </c>
      <c r="I299" s="66">
        <v>0.06</v>
      </c>
      <c r="J299" s="66">
        <v>2.49</v>
      </c>
      <c r="K299" s="81">
        <f>AVERAGE(1.13,1.25,1.23,1.14)</f>
        <v>1.1875</v>
      </c>
      <c r="L299" s="82">
        <v>44655.0</v>
      </c>
    </row>
    <row r="300">
      <c r="A300" s="66" t="s">
        <v>179</v>
      </c>
      <c r="B300" s="66">
        <v>2028.0</v>
      </c>
      <c r="C300" s="66">
        <v>2.0</v>
      </c>
      <c r="D300" s="66">
        <v>0.0</v>
      </c>
      <c r="F300" s="66">
        <v>0.782</v>
      </c>
      <c r="G300" s="66">
        <v>0.397</v>
      </c>
      <c r="H300" s="66">
        <v>0.059</v>
      </c>
      <c r="I300" s="66">
        <v>0.025</v>
      </c>
      <c r="J300" s="66">
        <v>1.5</v>
      </c>
      <c r="K300" s="81">
        <f>AVERAGE(0.88,0.93,0.85,0.86)</f>
        <v>0.88</v>
      </c>
      <c r="L300" s="82">
        <v>44655.0</v>
      </c>
    </row>
    <row r="301">
      <c r="A301" s="66" t="s">
        <v>179</v>
      </c>
      <c r="B301" s="66">
        <v>2006.0</v>
      </c>
      <c r="C301" s="66">
        <v>3.0</v>
      </c>
      <c r="D301" s="66">
        <v>0.0</v>
      </c>
      <c r="F301" s="66">
        <v>0.443</v>
      </c>
      <c r="G301" s="66">
        <v>0.216</v>
      </c>
      <c r="H301" s="66">
        <v>0.026</v>
      </c>
      <c r="I301" s="66">
        <v>0.009</v>
      </c>
      <c r="J301" s="66">
        <v>0.66</v>
      </c>
      <c r="K301" s="66" t="s">
        <v>58</v>
      </c>
      <c r="L301" s="82">
        <v>44655.0</v>
      </c>
    </row>
    <row r="302">
      <c r="A302" s="66" t="s">
        <v>57</v>
      </c>
      <c r="B302" s="66">
        <v>2023.0</v>
      </c>
      <c r="C302" s="66">
        <v>1.0</v>
      </c>
      <c r="D302" s="66">
        <v>0.0</v>
      </c>
      <c r="F302" s="66">
        <v>2.298</v>
      </c>
      <c r="G302" s="66">
        <v>1.221</v>
      </c>
      <c r="H302" s="66">
        <v>0.325</v>
      </c>
      <c r="I302" s="66">
        <v>0.152</v>
      </c>
      <c r="J302" s="66">
        <v>6.26</v>
      </c>
      <c r="K302" s="81">
        <f>AVERAGE(1.59,1.48,1.44,1.52)</f>
        <v>1.5075</v>
      </c>
      <c r="L302" s="82">
        <v>44655.0</v>
      </c>
    </row>
    <row r="303">
      <c r="A303" s="66" t="s">
        <v>179</v>
      </c>
      <c r="B303" s="66">
        <v>2087.0</v>
      </c>
      <c r="C303" s="66">
        <v>2.0</v>
      </c>
      <c r="D303" s="66">
        <v>0.0</v>
      </c>
      <c r="F303" s="66">
        <v>0.753</v>
      </c>
      <c r="G303" s="66">
        <v>0.298</v>
      </c>
      <c r="H303" s="66">
        <v>0.084</v>
      </c>
      <c r="I303" s="66">
        <v>0.031</v>
      </c>
      <c r="J303" s="66">
        <v>1.55</v>
      </c>
      <c r="K303" s="81">
        <f>AVERAGE(0.91,1,0.73,0.7)</f>
        <v>0.835</v>
      </c>
      <c r="L303" s="82">
        <v>44655.0</v>
      </c>
    </row>
    <row r="304">
      <c r="A304" s="66" t="s">
        <v>179</v>
      </c>
      <c r="B304" s="66">
        <v>2028.0</v>
      </c>
      <c r="C304" s="66">
        <v>3.0</v>
      </c>
      <c r="D304" s="66">
        <v>0.0</v>
      </c>
      <c r="F304" s="66">
        <v>0.516</v>
      </c>
      <c r="G304" s="66">
        <v>0.278</v>
      </c>
      <c r="H304" s="66">
        <v>0.045</v>
      </c>
      <c r="I304" s="66">
        <v>0.02</v>
      </c>
      <c r="J304" s="66">
        <v>1.19</v>
      </c>
      <c r="K304" s="81">
        <f>AVERAGE(0.92,0.91,1.05,0.95)</f>
        <v>0.9575</v>
      </c>
      <c r="L304" s="82">
        <v>44655.0</v>
      </c>
    </row>
    <row r="305">
      <c r="A305" s="66" t="s">
        <v>179</v>
      </c>
      <c r="B305" s="66">
        <v>2007.0</v>
      </c>
      <c r="C305" s="66">
        <v>1.0</v>
      </c>
      <c r="D305" s="66">
        <v>0.0</v>
      </c>
      <c r="F305" s="66">
        <v>0.619</v>
      </c>
      <c r="G305" s="66">
        <v>0.327</v>
      </c>
      <c r="H305" s="66">
        <v>0.064</v>
      </c>
      <c r="I305" s="66">
        <v>0.028</v>
      </c>
      <c r="J305" s="66">
        <v>1.9</v>
      </c>
      <c r="K305" s="81">
        <f>AVERAGE(0.73,1.02,1.01,0.82)</f>
        <v>0.895</v>
      </c>
      <c r="L305" s="82">
        <v>44655.0</v>
      </c>
    </row>
    <row r="306">
      <c r="A306" s="66" t="s">
        <v>57</v>
      </c>
      <c r="B306" s="66">
        <v>2023.0</v>
      </c>
      <c r="C306" s="66">
        <v>2.0</v>
      </c>
      <c r="D306" s="66">
        <v>0.0</v>
      </c>
      <c r="E306" s="66" t="s">
        <v>180</v>
      </c>
      <c r="F306" s="66">
        <v>1.355</v>
      </c>
      <c r="G306" s="66">
        <v>0.722</v>
      </c>
      <c r="H306" s="66">
        <v>0.223</v>
      </c>
      <c r="I306" s="66">
        <v>0.104</v>
      </c>
      <c r="J306" s="66">
        <v>5.21</v>
      </c>
      <c r="K306" s="81">
        <f>AVERAGE(1.08,1.5,1.29,1.32)</f>
        <v>1.2975</v>
      </c>
      <c r="L306" s="82">
        <v>44655.0</v>
      </c>
    </row>
    <row r="307">
      <c r="A307" s="66" t="s">
        <v>179</v>
      </c>
      <c r="B307" s="66">
        <v>2020.0</v>
      </c>
      <c r="C307" s="66">
        <v>2.0</v>
      </c>
      <c r="D307" s="66">
        <v>0.0</v>
      </c>
      <c r="F307" s="66">
        <v>0.52</v>
      </c>
      <c r="G307" s="66">
        <v>0.264</v>
      </c>
      <c r="H307" s="66">
        <v>0.029</v>
      </c>
      <c r="I307" s="66">
        <v>0.013</v>
      </c>
      <c r="J307" s="66">
        <v>0.87</v>
      </c>
      <c r="K307" s="81">
        <f>AVERAGE(0.71,0.72,0.69,0.72)</f>
        <v>0.71</v>
      </c>
      <c r="L307" s="82">
        <v>44655.0</v>
      </c>
    </row>
    <row r="308">
      <c r="A308" s="66" t="s">
        <v>179</v>
      </c>
      <c r="B308" s="66">
        <v>2008.0</v>
      </c>
      <c r="C308" s="66">
        <v>1.0</v>
      </c>
      <c r="D308" s="66">
        <v>0.0</v>
      </c>
      <c r="F308" s="66">
        <v>0.737</v>
      </c>
      <c r="G308" s="66">
        <v>0.384</v>
      </c>
      <c r="H308" s="66">
        <v>0.05</v>
      </c>
      <c r="I308" s="66">
        <v>0.022</v>
      </c>
      <c r="J308" s="66">
        <v>1.76</v>
      </c>
      <c r="K308" s="81">
        <f>AVERAGE(0.84,0.89,0.81,0.79)</f>
        <v>0.8325</v>
      </c>
      <c r="L308" s="82">
        <v>44655.0</v>
      </c>
    </row>
    <row r="309">
      <c r="A309" s="66" t="s">
        <v>179</v>
      </c>
      <c r="B309" s="66">
        <v>2087.0</v>
      </c>
      <c r="C309" s="66">
        <v>1.0</v>
      </c>
      <c r="D309" s="66">
        <v>0.0</v>
      </c>
      <c r="F309" s="66">
        <v>1.65</v>
      </c>
      <c r="G309" s="66">
        <v>0.577</v>
      </c>
      <c r="H309" s="66">
        <v>0.323</v>
      </c>
      <c r="I309" s="66">
        <v>0.101</v>
      </c>
      <c r="J309" s="66">
        <v>4.15</v>
      </c>
      <c r="K309" s="81">
        <f>AVERAGE(1.3,1.3,1.29,1.37)</f>
        <v>1.315</v>
      </c>
      <c r="L309" s="82">
        <v>44655.0</v>
      </c>
    </row>
    <row r="310">
      <c r="A310" s="66" t="s">
        <v>179</v>
      </c>
      <c r="B310" s="66">
        <v>2005.0</v>
      </c>
      <c r="C310" s="66">
        <v>3.0</v>
      </c>
      <c r="D310" s="66">
        <v>0.0</v>
      </c>
      <c r="F310" s="66">
        <v>1.046</v>
      </c>
      <c r="G310" s="66">
        <v>0.515</v>
      </c>
      <c r="H310" s="66">
        <v>0.108</v>
      </c>
      <c r="I310" s="66">
        <v>0.05</v>
      </c>
      <c r="J310" s="66">
        <v>2.44</v>
      </c>
      <c r="K310" s="81">
        <f>AVERAGE(0.99,0.94,0.92,0.88)</f>
        <v>0.9325</v>
      </c>
      <c r="L310" s="82">
        <v>44655.0</v>
      </c>
    </row>
    <row r="311">
      <c r="A311" s="66" t="s">
        <v>179</v>
      </c>
      <c r="B311" s="66">
        <v>2013.0</v>
      </c>
      <c r="C311" s="66">
        <v>3.0</v>
      </c>
      <c r="D311" s="66">
        <v>0.0</v>
      </c>
      <c r="F311" s="66">
        <v>0.658</v>
      </c>
      <c r="G311" s="66">
        <v>0.209</v>
      </c>
      <c r="H311" s="66">
        <v>0.174</v>
      </c>
      <c r="I311" s="66">
        <v>0.054</v>
      </c>
      <c r="J311" s="66">
        <v>3.86</v>
      </c>
      <c r="K311" s="81">
        <f>AVERAGE(1.08,1.01,1.11,1.12)</f>
        <v>1.08</v>
      </c>
      <c r="L311" s="82">
        <v>44655.0</v>
      </c>
    </row>
    <row r="312">
      <c r="A312" s="66" t="s">
        <v>179</v>
      </c>
      <c r="B312" s="66">
        <v>2025.0</v>
      </c>
      <c r="C312" s="66">
        <v>3.0</v>
      </c>
      <c r="D312" s="66">
        <v>0.0</v>
      </c>
      <c r="F312" s="66">
        <v>0.739</v>
      </c>
      <c r="G312" s="66">
        <v>0.39</v>
      </c>
      <c r="H312" s="66">
        <v>0.063</v>
      </c>
      <c r="I312" s="66">
        <v>0.029</v>
      </c>
      <c r="J312" s="66">
        <v>1.67</v>
      </c>
      <c r="K312" s="81">
        <f>average(1.51,1.18,1.34,1.16)</f>
        <v>1.2975</v>
      </c>
      <c r="L312" s="82">
        <v>44655.0</v>
      </c>
    </row>
    <row r="313">
      <c r="A313" s="66" t="s">
        <v>179</v>
      </c>
      <c r="B313" s="66">
        <v>2014.0</v>
      </c>
      <c r="C313" s="66">
        <v>1.0</v>
      </c>
      <c r="D313" s="66">
        <v>0.0</v>
      </c>
      <c r="F313" s="66">
        <v>0.834</v>
      </c>
      <c r="G313" s="66">
        <v>0.344</v>
      </c>
      <c r="H313" s="66">
        <v>0.205</v>
      </c>
      <c r="I313" s="66">
        <v>0.069</v>
      </c>
      <c r="J313" s="66">
        <v>3.73</v>
      </c>
      <c r="K313" s="81">
        <f>average(1.34,1.27,1.18,1.24)</f>
        <v>1.2575</v>
      </c>
      <c r="L313" s="82">
        <v>44655.0</v>
      </c>
    </row>
    <row r="314">
      <c r="A314" s="66" t="s">
        <v>179</v>
      </c>
      <c r="B314" s="66">
        <v>2031.0</v>
      </c>
      <c r="C314" s="66">
        <v>3.0</v>
      </c>
      <c r="D314" s="66">
        <v>0.0</v>
      </c>
      <c r="F314" s="66">
        <v>1.207</v>
      </c>
      <c r="G314" s="66">
        <v>0.647</v>
      </c>
      <c r="H314" s="66">
        <v>0.064</v>
      </c>
      <c r="I314" s="66">
        <v>0.032</v>
      </c>
      <c r="J314" s="66">
        <v>1.1</v>
      </c>
      <c r="K314" s="81">
        <f>AVERAGE(1.38,1.27,1.24,1.23)</f>
        <v>1.28</v>
      </c>
      <c r="L314" s="82">
        <v>44655.0</v>
      </c>
    </row>
    <row r="315">
      <c r="A315" s="66" t="s">
        <v>179</v>
      </c>
      <c r="B315" s="66">
        <v>2021.0</v>
      </c>
      <c r="C315" s="66">
        <v>3.0</v>
      </c>
      <c r="D315" s="66">
        <v>0.0</v>
      </c>
      <c r="F315" s="66">
        <v>0.376</v>
      </c>
      <c r="G315" s="66">
        <v>0.198</v>
      </c>
      <c r="H315" s="66">
        <v>0.036</v>
      </c>
      <c r="I315" s="66">
        <v>0.016</v>
      </c>
      <c r="J315" s="66">
        <v>1.07</v>
      </c>
      <c r="K315" s="81">
        <f>average(0.98,0.61,0.97,0.85)</f>
        <v>0.8525</v>
      </c>
      <c r="L315" s="82">
        <v>44655.0</v>
      </c>
    </row>
    <row r="316">
      <c r="A316" s="66" t="s">
        <v>57</v>
      </c>
      <c r="B316" s="66">
        <v>2022.0</v>
      </c>
      <c r="C316" s="66">
        <v>3.0</v>
      </c>
      <c r="D316" s="66">
        <v>1.0</v>
      </c>
      <c r="F316" s="66">
        <v>0.77</v>
      </c>
      <c r="G316" s="66">
        <v>0.471</v>
      </c>
      <c r="H316" s="66">
        <v>0.132</v>
      </c>
      <c r="I316" s="66">
        <v>0.067</v>
      </c>
      <c r="J316" s="66">
        <v>3.45</v>
      </c>
      <c r="K316" s="81">
        <f>AVERAGE(1.46,1.58,1.48,1.5)</f>
        <v>1.505</v>
      </c>
      <c r="L316" s="82">
        <v>44655.0</v>
      </c>
    </row>
    <row r="317">
      <c r="A317" s="66" t="s">
        <v>179</v>
      </c>
      <c r="B317" s="66">
        <v>2013.0</v>
      </c>
      <c r="C317" s="66">
        <v>1.0</v>
      </c>
      <c r="D317" s="66">
        <v>0.0</v>
      </c>
      <c r="F317" s="66">
        <v>0.536</v>
      </c>
      <c r="G317" s="66">
        <v>0.177</v>
      </c>
      <c r="H317" s="66">
        <v>0.165</v>
      </c>
      <c r="I317" s="66">
        <v>0.049</v>
      </c>
      <c r="J317" s="66">
        <v>4.25</v>
      </c>
      <c r="K317" s="81">
        <f>AVERAGE(0.94,0.98,0.99,1)</f>
        <v>0.9775</v>
      </c>
      <c r="L317" s="82">
        <v>44655.0</v>
      </c>
    </row>
    <row r="318">
      <c r="A318" s="66" t="s">
        <v>57</v>
      </c>
      <c r="B318" s="66">
        <v>2091.0</v>
      </c>
      <c r="C318" s="66">
        <v>3.0</v>
      </c>
      <c r="D318" s="66">
        <v>1.0</v>
      </c>
      <c r="F318" s="66">
        <v>1.514</v>
      </c>
      <c r="G318" s="66">
        <v>0.92</v>
      </c>
      <c r="H318" s="66">
        <v>0.296</v>
      </c>
      <c r="I318" s="66">
        <v>0.161</v>
      </c>
      <c r="J318" s="66">
        <v>4.89</v>
      </c>
      <c r="K318" s="81">
        <f>AVERAGE(1.63,1.84,1.91,1.8)</f>
        <v>1.795</v>
      </c>
      <c r="L318" s="82">
        <v>44655.0</v>
      </c>
    </row>
    <row r="319">
      <c r="A319" s="66" t="s">
        <v>57</v>
      </c>
      <c r="B319" s="66">
        <v>2089.0</v>
      </c>
      <c r="C319" s="66">
        <v>2.0</v>
      </c>
      <c r="D319" s="66">
        <v>1.0</v>
      </c>
      <c r="F319" s="66">
        <v>0.865</v>
      </c>
      <c r="G319" s="66">
        <v>0.525</v>
      </c>
      <c r="H319" s="66">
        <v>0.053</v>
      </c>
      <c r="I319" s="66">
        <v>0.031</v>
      </c>
      <c r="J319" s="66">
        <v>2.31</v>
      </c>
      <c r="K319" s="81">
        <f>AVERAGE(0.98,0.99,0.94,1.11)</f>
        <v>1.005</v>
      </c>
      <c r="L319" s="82">
        <v>44655.0</v>
      </c>
    </row>
    <row r="320">
      <c r="A320" s="66" t="s">
        <v>57</v>
      </c>
      <c r="B320" s="66">
        <v>2089.0</v>
      </c>
      <c r="C320" s="66">
        <v>3.0</v>
      </c>
      <c r="D320" s="66">
        <v>1.0</v>
      </c>
      <c r="F320" s="66">
        <v>2.047</v>
      </c>
      <c r="G320" s="66">
        <v>1.247</v>
      </c>
      <c r="H320" s="66">
        <v>0.566</v>
      </c>
      <c r="I320" s="66">
        <v>0.316</v>
      </c>
      <c r="J320" s="66">
        <v>7.34</v>
      </c>
      <c r="K320" s="81">
        <f>AVERAGE(1.94,1.89,1.92,1.89)</f>
        <v>1.91</v>
      </c>
      <c r="L320" s="82">
        <v>44655.0</v>
      </c>
    </row>
    <row r="321">
      <c r="A321" s="66" t="s">
        <v>57</v>
      </c>
      <c r="B321" s="66">
        <v>2092.0</v>
      </c>
      <c r="C321" s="66">
        <v>2.0</v>
      </c>
      <c r="D321" s="66">
        <v>1.0</v>
      </c>
      <c r="F321" s="66">
        <v>1.626</v>
      </c>
      <c r="G321" s="66">
        <v>0.957</v>
      </c>
      <c r="H321" s="66">
        <v>0.146</v>
      </c>
      <c r="I321" s="66">
        <v>0.077</v>
      </c>
      <c r="J321" s="66">
        <v>3.23</v>
      </c>
      <c r="K321" s="81">
        <f>AVERAGE(1.26,1.25,1.23,1.34)</f>
        <v>1.27</v>
      </c>
      <c r="L321" s="82">
        <v>44655.0</v>
      </c>
    </row>
    <row r="322">
      <c r="A322" s="66" t="s">
        <v>179</v>
      </c>
      <c r="B322" s="66">
        <v>2012.0</v>
      </c>
      <c r="C322" s="66">
        <v>1.0</v>
      </c>
      <c r="D322" s="66">
        <v>0.0</v>
      </c>
      <c r="F322" s="66">
        <v>0.355</v>
      </c>
      <c r="G322" s="66">
        <v>0.141</v>
      </c>
      <c r="H322" s="66">
        <v>0.019</v>
      </c>
      <c r="I322" s="66">
        <v>0.007</v>
      </c>
      <c r="J322" s="66">
        <v>0.5</v>
      </c>
      <c r="K322" s="66" t="s">
        <v>58</v>
      </c>
      <c r="L322" s="82">
        <v>44655.0</v>
      </c>
    </row>
    <row r="323">
      <c r="A323" s="66" t="s">
        <v>179</v>
      </c>
      <c r="B323" s="66">
        <v>2085.0</v>
      </c>
      <c r="C323" s="66">
        <v>1.0</v>
      </c>
      <c r="D323" s="66">
        <v>0.0</v>
      </c>
      <c r="F323" s="66">
        <v>0.382</v>
      </c>
      <c r="G323" s="66">
        <v>0.142</v>
      </c>
      <c r="H323" s="66">
        <v>0.048</v>
      </c>
      <c r="I323" s="66">
        <v>0.018</v>
      </c>
      <c r="J323" s="66">
        <v>1.22</v>
      </c>
      <c r="K323" s="81">
        <f>AVERAGE(1.04,1.1,0.94,0.97)</f>
        <v>1.0125</v>
      </c>
      <c r="L323" s="82">
        <v>44655.0</v>
      </c>
    </row>
    <row r="324">
      <c r="A324" s="66" t="s">
        <v>179</v>
      </c>
      <c r="B324" s="66">
        <v>2008.0</v>
      </c>
      <c r="C324" s="66">
        <v>3.0</v>
      </c>
      <c r="D324" s="66">
        <v>0.0</v>
      </c>
      <c r="F324" s="66">
        <v>0.678</v>
      </c>
      <c r="G324" s="66">
        <v>0.357</v>
      </c>
      <c r="H324" s="66">
        <v>0.055</v>
      </c>
      <c r="I324" s="66">
        <v>0.024</v>
      </c>
      <c r="J324" s="66">
        <v>1.55</v>
      </c>
      <c r="K324" s="81">
        <f>AVERAGE(0.8,0.76,0.92,0.72)</f>
        <v>0.8</v>
      </c>
      <c r="L324" s="82">
        <v>44655.0</v>
      </c>
    </row>
    <row r="325">
      <c r="A325" s="66" t="s">
        <v>179</v>
      </c>
      <c r="B325" s="66">
        <v>2086.0</v>
      </c>
      <c r="C325" s="66">
        <v>1.0</v>
      </c>
      <c r="D325" s="66">
        <v>0.0</v>
      </c>
      <c r="F325" s="66">
        <v>1.291</v>
      </c>
      <c r="G325" s="66">
        <v>0.546</v>
      </c>
      <c r="H325" s="66">
        <v>0.217</v>
      </c>
      <c r="I325" s="66">
        <v>0.084</v>
      </c>
      <c r="J325" s="66">
        <v>3.06</v>
      </c>
      <c r="K325" s="81">
        <f>AVERAGE(1.21,1.32,1.27,1.51)</f>
        <v>1.3275</v>
      </c>
      <c r="L325" s="82">
        <v>44655.0</v>
      </c>
    </row>
    <row r="326">
      <c r="A326" s="66" t="s">
        <v>179</v>
      </c>
      <c r="B326" s="66">
        <v>2021.0</v>
      </c>
      <c r="C326" s="66">
        <v>1.0</v>
      </c>
      <c r="D326" s="66">
        <v>0.0</v>
      </c>
      <c r="F326" s="66">
        <v>0.713</v>
      </c>
      <c r="G326" s="66">
        <v>0.372</v>
      </c>
      <c r="H326" s="66">
        <v>0.043</v>
      </c>
      <c r="I326" s="66">
        <v>0.019</v>
      </c>
      <c r="J326" s="66">
        <v>1.08</v>
      </c>
      <c r="K326" s="81">
        <f>AVERAGE(0.81,0.76,0.71,0.92)</f>
        <v>0.8</v>
      </c>
      <c r="L326" s="82">
        <v>44655.0</v>
      </c>
    </row>
    <row r="327">
      <c r="A327" s="66" t="s">
        <v>179</v>
      </c>
      <c r="B327" s="66">
        <v>1478.0</v>
      </c>
      <c r="C327" s="66">
        <v>2.0</v>
      </c>
      <c r="D327" s="66">
        <v>0.0</v>
      </c>
      <c r="F327" s="66">
        <v>0.73</v>
      </c>
      <c r="G327" s="66">
        <v>0.249</v>
      </c>
      <c r="H327" s="66">
        <v>0.111</v>
      </c>
      <c r="I327" s="66">
        <v>0.033</v>
      </c>
      <c r="J327" s="66">
        <v>2.65</v>
      </c>
      <c r="K327" s="81">
        <f>AVERAGE(0.91,0.91,1.06,1.11)</f>
        <v>0.9975</v>
      </c>
      <c r="L327" s="82">
        <v>44655.0</v>
      </c>
    </row>
    <row r="328">
      <c r="A328" s="66" t="s">
        <v>179</v>
      </c>
      <c r="B328" s="66">
        <v>2088.0</v>
      </c>
      <c r="C328" s="66">
        <v>3.0</v>
      </c>
      <c r="D328" s="66">
        <v>0.0</v>
      </c>
      <c r="F328" s="66">
        <v>0.76</v>
      </c>
      <c r="G328" s="66">
        <v>0.316</v>
      </c>
      <c r="H328" s="66">
        <v>0.095</v>
      </c>
      <c r="I328" s="66">
        <v>0.034</v>
      </c>
      <c r="J328" s="66">
        <v>2.39</v>
      </c>
      <c r="K328" s="81">
        <f>AVERAGE(1.14,1.09,1,0.98)</f>
        <v>1.0525</v>
      </c>
      <c r="L328" s="82">
        <v>44655.0</v>
      </c>
    </row>
    <row r="329">
      <c r="A329" s="66" t="s">
        <v>57</v>
      </c>
      <c r="B329" s="66">
        <v>2091.0</v>
      </c>
      <c r="C329" s="66">
        <v>1.0</v>
      </c>
      <c r="D329" s="66">
        <v>1.0</v>
      </c>
      <c r="F329" s="66">
        <v>1.337</v>
      </c>
      <c r="G329" s="66">
        <v>0.807</v>
      </c>
      <c r="H329" s="66">
        <v>0.157</v>
      </c>
      <c r="I329" s="66">
        <v>0.09</v>
      </c>
      <c r="J329" s="66">
        <v>3.69</v>
      </c>
      <c r="K329" s="81">
        <f>AVERAGE(1.48,1.52,1.49,1.54)</f>
        <v>1.5075</v>
      </c>
      <c r="L329" s="82">
        <v>44655.0</v>
      </c>
    </row>
    <row r="330">
      <c r="A330" s="66" t="s">
        <v>179</v>
      </c>
      <c r="B330" s="66">
        <v>2028.0</v>
      </c>
      <c r="C330" s="66">
        <v>1.0</v>
      </c>
      <c r="D330" s="66">
        <v>0.0</v>
      </c>
      <c r="F330" s="66">
        <v>0.961</v>
      </c>
      <c r="G330" s="66">
        <v>0.521</v>
      </c>
      <c r="H330" s="66">
        <v>0.125</v>
      </c>
      <c r="I330" s="66">
        <v>0.055</v>
      </c>
      <c r="J330" s="66">
        <v>2.53</v>
      </c>
      <c r="K330" s="81">
        <f>AVERAGE(1.23,1.17,1.21,1.22)</f>
        <v>1.2075</v>
      </c>
      <c r="L330" s="82">
        <v>44655.0</v>
      </c>
    </row>
    <row r="331">
      <c r="A331" s="66" t="s">
        <v>57</v>
      </c>
      <c r="B331" s="66">
        <v>2023.0</v>
      </c>
      <c r="C331" s="66">
        <v>2.0</v>
      </c>
      <c r="D331" s="66">
        <v>0.0</v>
      </c>
      <c r="E331" s="66" t="s">
        <v>181</v>
      </c>
      <c r="F331" s="66">
        <v>1.452</v>
      </c>
      <c r="G331" s="66">
        <v>0.76</v>
      </c>
      <c r="H331" s="66">
        <v>0.229</v>
      </c>
      <c r="I331" s="66">
        <v>0.103</v>
      </c>
      <c r="J331" s="66">
        <v>5.63</v>
      </c>
      <c r="K331" s="81">
        <f>AVERAGE(1.44,1.13,1.33,1.34)</f>
        <v>1.31</v>
      </c>
      <c r="L331" s="82">
        <v>44655.0</v>
      </c>
    </row>
    <row r="332">
      <c r="A332" s="66" t="s">
        <v>57</v>
      </c>
      <c r="B332" s="66">
        <v>2030.0</v>
      </c>
      <c r="C332" s="66">
        <v>3.0</v>
      </c>
      <c r="D332" s="66">
        <v>1.0</v>
      </c>
      <c r="F332" s="66">
        <v>1.212</v>
      </c>
      <c r="G332" s="66">
        <v>0.67</v>
      </c>
      <c r="H332" s="66">
        <v>0.081</v>
      </c>
      <c r="I332" s="66">
        <v>0.04</v>
      </c>
      <c r="J332" s="66">
        <v>2.4</v>
      </c>
      <c r="K332" s="81">
        <f>AVERAGE(1.02,1.05,1.04,1.15)</f>
        <v>1.065</v>
      </c>
      <c r="L332" s="82">
        <v>44655.0</v>
      </c>
    </row>
    <row r="333">
      <c r="A333" s="66" t="s">
        <v>179</v>
      </c>
      <c r="B333" s="66">
        <v>2008.0</v>
      </c>
      <c r="C333" s="66">
        <v>2.0</v>
      </c>
      <c r="D333" s="66">
        <v>0.0</v>
      </c>
      <c r="F333" s="66">
        <v>0.942</v>
      </c>
      <c r="G333" s="66">
        <v>0.48</v>
      </c>
      <c r="H333" s="66">
        <v>0.053</v>
      </c>
      <c r="I333" s="66">
        <v>0.023</v>
      </c>
      <c r="J333" s="66">
        <v>1.43</v>
      </c>
      <c r="K333" s="81">
        <f>AVERAGE(0.9,1.01,1.07,0.91)</f>
        <v>0.9725</v>
      </c>
      <c r="L333" s="82">
        <v>44655.0</v>
      </c>
    </row>
    <row r="334">
      <c r="A334" s="66" t="s">
        <v>57</v>
      </c>
      <c r="B334" s="66">
        <v>2092.0</v>
      </c>
      <c r="C334" s="66">
        <v>3.0</v>
      </c>
      <c r="D334" s="66">
        <v>1.0</v>
      </c>
      <c r="F334" s="66">
        <v>0.959</v>
      </c>
      <c r="G334" s="66">
        <v>0.588</v>
      </c>
      <c r="H334" s="66">
        <v>0.294</v>
      </c>
      <c r="I334" s="66">
        <v>0.148</v>
      </c>
      <c r="J334" s="66">
        <v>5.04</v>
      </c>
      <c r="K334" s="81">
        <f>AVERAGE(1.91,1.77,1.98,1.83)</f>
        <v>1.8725</v>
      </c>
      <c r="L334" s="82">
        <v>44655.0</v>
      </c>
    </row>
    <row r="335">
      <c r="A335" s="66" t="s">
        <v>179</v>
      </c>
      <c r="B335" s="66">
        <v>2025.0</v>
      </c>
      <c r="C335" s="66">
        <v>1.0</v>
      </c>
      <c r="D335" s="66">
        <v>0.0</v>
      </c>
      <c r="F335" s="66">
        <v>0.483</v>
      </c>
      <c r="G335" s="66">
        <v>0.248</v>
      </c>
      <c r="H335" s="66">
        <v>0.037</v>
      </c>
      <c r="I335" s="66">
        <v>0.017</v>
      </c>
      <c r="J335" s="66">
        <v>1.29</v>
      </c>
      <c r="K335" s="81">
        <f>AVERAGE(0.84,0.81,0.73,0.8)</f>
        <v>0.795</v>
      </c>
      <c r="L335" s="82">
        <v>44655.0</v>
      </c>
    </row>
    <row r="336">
      <c r="A336" s="66" t="s">
        <v>57</v>
      </c>
      <c r="B336" s="66">
        <v>2022.0</v>
      </c>
      <c r="C336" s="66">
        <v>2.0</v>
      </c>
      <c r="D336" s="66">
        <v>0.0</v>
      </c>
      <c r="F336" s="66">
        <v>0.124</v>
      </c>
      <c r="G336" s="66">
        <v>0.063</v>
      </c>
      <c r="H336" s="66">
        <v>0.014</v>
      </c>
      <c r="I336" s="66">
        <v>0.005</v>
      </c>
      <c r="J336" s="66">
        <v>0.55</v>
      </c>
      <c r="K336" s="66" t="s">
        <v>58</v>
      </c>
      <c r="L336" s="82">
        <v>44655.0</v>
      </c>
    </row>
    <row r="337">
      <c r="A337" s="66" t="s">
        <v>57</v>
      </c>
      <c r="B337" s="66">
        <v>2022.0</v>
      </c>
      <c r="C337" s="66">
        <v>3.0</v>
      </c>
      <c r="D337" s="66">
        <v>0.0</v>
      </c>
      <c r="F337" s="66">
        <v>0.226</v>
      </c>
      <c r="G337" s="66">
        <v>0.117</v>
      </c>
      <c r="H337" s="66">
        <v>0.044</v>
      </c>
      <c r="I337" s="66">
        <v>0.018</v>
      </c>
      <c r="J337" s="66">
        <v>1.73</v>
      </c>
      <c r="K337" s="81">
        <f>AVERAGE(0.62,0.59,0.62,0.53)</f>
        <v>0.59</v>
      </c>
      <c r="L337" s="82">
        <v>44655.0</v>
      </c>
    </row>
    <row r="338">
      <c r="A338" s="66" t="s">
        <v>57</v>
      </c>
      <c r="B338" s="66">
        <v>2023.0</v>
      </c>
      <c r="C338" s="66">
        <v>1.0</v>
      </c>
      <c r="D338" s="66">
        <v>1.0</v>
      </c>
      <c r="F338" s="66">
        <v>3.529</v>
      </c>
      <c r="G338" s="66">
        <v>2.072</v>
      </c>
      <c r="H338" s="66">
        <v>0.573</v>
      </c>
      <c r="I338" s="66">
        <v>0.289</v>
      </c>
      <c r="J338" s="66">
        <v>6.83</v>
      </c>
      <c r="K338" s="81">
        <f>AVERAGE(2.22,2.32,2.15,2.12)</f>
        <v>2.2025</v>
      </c>
      <c r="L338" s="82">
        <v>44655.0</v>
      </c>
    </row>
    <row r="339">
      <c r="A339" s="66" t="s">
        <v>179</v>
      </c>
      <c r="B339" s="66">
        <v>2087.0</v>
      </c>
      <c r="C339" s="66">
        <v>3.0</v>
      </c>
      <c r="D339" s="66">
        <v>0.0</v>
      </c>
      <c r="F339" s="66">
        <v>0.838</v>
      </c>
      <c r="G339" s="66">
        <v>0.332</v>
      </c>
      <c r="H339" s="66">
        <v>0.079</v>
      </c>
      <c r="I339" s="66">
        <v>0.03</v>
      </c>
      <c r="J339" s="66">
        <v>1.79</v>
      </c>
      <c r="K339" s="81">
        <f>AVERAGE(1.08,1.11,1.06,1.03)</f>
        <v>1.07</v>
      </c>
      <c r="L339" s="82">
        <v>44655.0</v>
      </c>
    </row>
    <row r="340">
      <c r="A340" s="66" t="s">
        <v>179</v>
      </c>
      <c r="B340" s="66">
        <v>2004.0</v>
      </c>
      <c r="C340" s="66">
        <v>1.0</v>
      </c>
      <c r="D340" s="66">
        <v>0.0</v>
      </c>
      <c r="F340" s="66">
        <v>1.157</v>
      </c>
      <c r="G340" s="66">
        <v>0.585</v>
      </c>
      <c r="H340" s="66">
        <v>0.325</v>
      </c>
      <c r="I340" s="66">
        <v>0.143</v>
      </c>
      <c r="J340" s="66">
        <v>5.25</v>
      </c>
      <c r="K340" s="81">
        <f>AVERAGE(1.53,1.57,1.55,1.58)</f>
        <v>1.5575</v>
      </c>
      <c r="L340" s="82">
        <v>44655.0</v>
      </c>
    </row>
    <row r="341">
      <c r="A341" s="66" t="s">
        <v>179</v>
      </c>
      <c r="B341" s="66">
        <v>2006.0</v>
      </c>
      <c r="C341" s="66">
        <v>1.0</v>
      </c>
      <c r="D341" s="66">
        <v>0.0</v>
      </c>
      <c r="F341" s="66">
        <v>0.737</v>
      </c>
      <c r="G341" s="66">
        <v>0.362</v>
      </c>
      <c r="H341" s="66">
        <v>0.03</v>
      </c>
      <c r="I341" s="66">
        <v>0.013</v>
      </c>
      <c r="J341" s="66">
        <v>0.81</v>
      </c>
      <c r="K341" s="81">
        <f>AVERAGE(1.14,1.12,1.09,1.02)</f>
        <v>1.0925</v>
      </c>
      <c r="L341" s="82">
        <v>44655.0</v>
      </c>
    </row>
    <row r="342">
      <c r="A342" s="66" t="s">
        <v>57</v>
      </c>
      <c r="B342" s="66">
        <v>2093.0</v>
      </c>
      <c r="C342" s="66">
        <v>1.0</v>
      </c>
      <c r="D342" s="66">
        <v>1.0</v>
      </c>
      <c r="F342" s="66">
        <v>2.66</v>
      </c>
      <c r="G342" s="66">
        <v>1.676</v>
      </c>
      <c r="H342" s="66">
        <v>0.534</v>
      </c>
      <c r="I342" s="66">
        <v>0.308</v>
      </c>
      <c r="J342" s="66">
        <v>8.26</v>
      </c>
      <c r="K342" s="81">
        <f>AVERAGE(2.05,1.96,1.78,1.81)</f>
        <v>1.9</v>
      </c>
      <c r="L342" s="82">
        <v>44655.0</v>
      </c>
    </row>
    <row r="343">
      <c r="A343" s="66" t="s">
        <v>179</v>
      </c>
      <c r="B343" s="66">
        <v>2004.0</v>
      </c>
      <c r="C343" s="66">
        <v>3.0</v>
      </c>
      <c r="D343" s="66">
        <v>0.0</v>
      </c>
      <c r="F343" s="66">
        <v>0.583</v>
      </c>
      <c r="G343" s="66">
        <v>0.305</v>
      </c>
      <c r="H343" s="66">
        <v>0.075</v>
      </c>
      <c r="I343" s="66">
        <v>0.034</v>
      </c>
      <c r="J343" s="66">
        <v>1.93</v>
      </c>
      <c r="K343" s="81">
        <f>AVERAGE(0.96,1.09,1.04,0.88)</f>
        <v>0.9925</v>
      </c>
      <c r="L343" s="82">
        <v>44655.0</v>
      </c>
    </row>
    <row r="344">
      <c r="A344" s="66" t="s">
        <v>179</v>
      </c>
      <c r="B344" s="66">
        <v>2021.0</v>
      </c>
      <c r="C344" s="66">
        <v>2.0</v>
      </c>
      <c r="D344" s="66">
        <v>0.0</v>
      </c>
      <c r="F344" s="66">
        <v>0.936</v>
      </c>
      <c r="G344" s="66">
        <v>0.494</v>
      </c>
      <c r="H344" s="66">
        <v>0.11</v>
      </c>
      <c r="I344" s="66">
        <v>0.05</v>
      </c>
      <c r="J344" s="66">
        <v>2.33</v>
      </c>
      <c r="K344" s="81">
        <f>AVERAGE(1.27,1.09,1.14,1.16)</f>
        <v>1.165</v>
      </c>
      <c r="L344" s="82">
        <v>44655.0</v>
      </c>
    </row>
    <row r="345">
      <c r="A345" s="66" t="s">
        <v>179</v>
      </c>
      <c r="B345" s="66">
        <v>2024.0</v>
      </c>
      <c r="C345" s="66">
        <v>1.0</v>
      </c>
      <c r="D345" s="66">
        <v>0.0</v>
      </c>
      <c r="F345" s="66">
        <v>1.315</v>
      </c>
      <c r="G345" s="66">
        <v>0.644</v>
      </c>
      <c r="H345" s="66">
        <v>0.175</v>
      </c>
      <c r="I345" s="66">
        <v>0.077</v>
      </c>
      <c r="J345" s="66">
        <v>2.35</v>
      </c>
      <c r="K345" s="81">
        <f>AVERAGE(1.38,1.37,1.35,1.39)</f>
        <v>1.3725</v>
      </c>
      <c r="L345" s="82">
        <v>44655.0</v>
      </c>
    </row>
    <row r="346">
      <c r="A346" s="66" t="s">
        <v>57</v>
      </c>
      <c r="B346" s="66">
        <v>2093.0</v>
      </c>
      <c r="C346" s="66">
        <v>3.0</v>
      </c>
      <c r="D346" s="66">
        <v>1.0</v>
      </c>
      <c r="F346" s="66">
        <v>1.436</v>
      </c>
      <c r="G346" s="66">
        <v>0.91</v>
      </c>
      <c r="H346" s="66">
        <v>0.254</v>
      </c>
      <c r="I346" s="66">
        <v>0.146</v>
      </c>
      <c r="J346" s="66">
        <v>5.66</v>
      </c>
      <c r="K346" s="81">
        <f>AVERAGE(1.39,1.45,1.39,1.49)</f>
        <v>1.43</v>
      </c>
      <c r="L346" s="82">
        <v>44655.0</v>
      </c>
    </row>
    <row r="347">
      <c r="A347" s="66" t="s">
        <v>179</v>
      </c>
      <c r="B347" s="66">
        <v>2085.0</v>
      </c>
      <c r="C347" s="66">
        <v>2.0</v>
      </c>
      <c r="D347" s="66">
        <v>0.0</v>
      </c>
      <c r="F347" s="66">
        <v>0.543</v>
      </c>
      <c r="G347" s="66">
        <v>0.206</v>
      </c>
      <c r="H347" s="66">
        <v>0.124</v>
      </c>
      <c r="I347" s="66">
        <v>0.042</v>
      </c>
      <c r="J347" s="66">
        <v>2.83</v>
      </c>
      <c r="K347" s="81">
        <f>AVERAGE(1.11,1.25,1.27,1.18)</f>
        <v>1.2025</v>
      </c>
      <c r="L347" s="82">
        <v>44655.0</v>
      </c>
    </row>
    <row r="348">
      <c r="A348" s="66" t="s">
        <v>179</v>
      </c>
      <c r="B348" s="66">
        <v>2027.0</v>
      </c>
      <c r="C348" s="66">
        <v>1.0</v>
      </c>
      <c r="D348" s="66">
        <v>0.0</v>
      </c>
      <c r="F348" s="66">
        <v>0.989</v>
      </c>
      <c r="G348" s="66">
        <v>0.509</v>
      </c>
      <c r="H348" s="66">
        <v>0.089</v>
      </c>
      <c r="I348" s="66">
        <v>0.04</v>
      </c>
      <c r="J348" s="66">
        <v>1.35</v>
      </c>
      <c r="K348" s="81">
        <f>AVERAGE(1.17,1.03,1.11,1)</f>
        <v>1.0775</v>
      </c>
      <c r="L348" s="82">
        <v>44655.0</v>
      </c>
    </row>
    <row r="349">
      <c r="A349" s="66" t="s">
        <v>57</v>
      </c>
      <c r="B349" s="66">
        <v>2022.0</v>
      </c>
      <c r="C349" s="66">
        <v>1.0</v>
      </c>
      <c r="D349" s="66">
        <v>1.0</v>
      </c>
      <c r="F349" s="66">
        <v>0.656</v>
      </c>
      <c r="G349" s="66">
        <v>0.392</v>
      </c>
      <c r="H349" s="66">
        <v>0.335</v>
      </c>
      <c r="I349" s="66">
        <v>0.165</v>
      </c>
      <c r="J349" s="66">
        <v>5.43</v>
      </c>
      <c r="K349" s="81">
        <f>AVERAGE(1.74,1.68,1.69,1.55)</f>
        <v>1.665</v>
      </c>
      <c r="L349" s="82">
        <v>44655.0</v>
      </c>
    </row>
    <row r="350">
      <c r="A350" s="66" t="s">
        <v>179</v>
      </c>
      <c r="B350" s="66">
        <v>2027.0</v>
      </c>
      <c r="C350" s="66">
        <v>3.0</v>
      </c>
      <c r="D350" s="66">
        <v>0.0</v>
      </c>
      <c r="F350" s="66">
        <v>0.422</v>
      </c>
      <c r="G350" s="66">
        <v>0.211</v>
      </c>
      <c r="H350" s="66">
        <v>0.044</v>
      </c>
      <c r="I350" s="66">
        <v>0.019</v>
      </c>
      <c r="J350" s="66">
        <v>1.1</v>
      </c>
      <c r="K350" s="81">
        <f>AVERAGE(0.93,0.84,0.78,0.84)</f>
        <v>0.8475</v>
      </c>
      <c r="L350" s="82">
        <v>44655.0</v>
      </c>
    </row>
    <row r="351">
      <c r="A351" s="66" t="s">
        <v>179</v>
      </c>
      <c r="B351" s="66">
        <v>2020.0</v>
      </c>
      <c r="C351" s="66">
        <v>1.0</v>
      </c>
      <c r="D351" s="66">
        <v>0.0</v>
      </c>
      <c r="F351" s="66">
        <v>0.529</v>
      </c>
      <c r="G351" s="66">
        <v>0.259</v>
      </c>
      <c r="H351" s="66">
        <v>0.056</v>
      </c>
      <c r="I351" s="66">
        <v>0.022</v>
      </c>
      <c r="J351" s="66">
        <v>1.34</v>
      </c>
      <c r="K351" s="66" t="s">
        <v>58</v>
      </c>
      <c r="L351" s="82">
        <v>44655.0</v>
      </c>
    </row>
    <row r="352">
      <c r="A352" s="66" t="s">
        <v>179</v>
      </c>
      <c r="B352" s="66">
        <v>2020.0</v>
      </c>
      <c r="C352" s="66">
        <v>3.0</v>
      </c>
      <c r="D352" s="66">
        <v>0.0</v>
      </c>
      <c r="F352" s="66">
        <v>0.462</v>
      </c>
      <c r="G352" s="66">
        <v>0.23</v>
      </c>
      <c r="H352" s="66">
        <v>0.021</v>
      </c>
      <c r="I352" s="66">
        <v>0.008</v>
      </c>
      <c r="J352" s="66">
        <v>0.81</v>
      </c>
      <c r="K352" s="66" t="s">
        <v>58</v>
      </c>
      <c r="L352" s="82">
        <v>44655.0</v>
      </c>
    </row>
    <row r="353">
      <c r="A353" s="66" t="s">
        <v>179</v>
      </c>
      <c r="B353" s="66">
        <v>2005.0</v>
      </c>
      <c r="C353" s="66">
        <v>2.0</v>
      </c>
      <c r="D353" s="66">
        <v>0.0</v>
      </c>
      <c r="F353" s="66">
        <v>1.284</v>
      </c>
      <c r="G353" s="66">
        <v>0.617</v>
      </c>
      <c r="H353" s="66">
        <v>0.108</v>
      </c>
      <c r="I353" s="66">
        <v>0.049</v>
      </c>
      <c r="J353" s="66">
        <v>1.72</v>
      </c>
      <c r="K353" s="81">
        <f>AVERAGE(1.35,1.32,1.27,1.39)</f>
        <v>1.3325</v>
      </c>
      <c r="L353" s="82">
        <v>44655.0</v>
      </c>
    </row>
    <row r="354">
      <c r="A354" s="66" t="s">
        <v>179</v>
      </c>
      <c r="B354" s="66">
        <v>2031.0</v>
      </c>
      <c r="C354" s="66">
        <v>2.0</v>
      </c>
      <c r="D354" s="66">
        <v>0.0</v>
      </c>
      <c r="F354" s="66">
        <v>0.266</v>
      </c>
      <c r="G354" s="66">
        <v>0.144</v>
      </c>
      <c r="H354" s="66">
        <v>0.012</v>
      </c>
      <c r="I354" s="66">
        <v>0.006</v>
      </c>
      <c r="J354" s="66">
        <v>0.43</v>
      </c>
      <c r="K354" s="66" t="s">
        <v>58</v>
      </c>
      <c r="L354" s="82">
        <v>44655.0</v>
      </c>
    </row>
    <row r="355">
      <c r="A355" s="66" t="s">
        <v>57</v>
      </c>
      <c r="B355" s="66">
        <v>2091.0</v>
      </c>
      <c r="C355" s="66">
        <v>2.0</v>
      </c>
      <c r="D355" s="66">
        <v>1.0</v>
      </c>
      <c r="F355" s="66">
        <v>1.045</v>
      </c>
      <c r="G355" s="66">
        <v>0.62</v>
      </c>
      <c r="H355" s="66">
        <v>0.141</v>
      </c>
      <c r="I355" s="66">
        <v>0.079</v>
      </c>
      <c r="J355" s="66">
        <v>3.41</v>
      </c>
      <c r="K355" s="81">
        <f>AVERAGE(1.35,1.45,1.61,1.43)</f>
        <v>1.46</v>
      </c>
      <c r="L355" s="82">
        <v>44655.0</v>
      </c>
    </row>
    <row r="356">
      <c r="A356" s="66" t="s">
        <v>57</v>
      </c>
      <c r="B356" s="66">
        <v>2092.0</v>
      </c>
      <c r="C356" s="66">
        <v>2.0</v>
      </c>
      <c r="D356" s="66">
        <v>0.0</v>
      </c>
      <c r="F356" s="66">
        <v>0.141</v>
      </c>
      <c r="G356" s="66">
        <v>0.047</v>
      </c>
      <c r="H356" s="66">
        <v>0.066</v>
      </c>
      <c r="I356" s="66">
        <v>0.019</v>
      </c>
      <c r="J356" s="66">
        <v>1.54</v>
      </c>
      <c r="K356" s="66" t="s">
        <v>58</v>
      </c>
      <c r="L356" s="82">
        <v>44655.0</v>
      </c>
    </row>
    <row r="357">
      <c r="A357" s="66" t="s">
        <v>179</v>
      </c>
      <c r="B357" s="66">
        <v>2014.0</v>
      </c>
      <c r="C357" s="66">
        <v>3.0</v>
      </c>
      <c r="D357" s="66">
        <v>0.0</v>
      </c>
      <c r="F357" s="66">
        <v>0.734</v>
      </c>
      <c r="G357" s="66">
        <v>0.304</v>
      </c>
      <c r="H357" s="66">
        <v>0.106</v>
      </c>
      <c r="I357" s="66">
        <v>0.036</v>
      </c>
      <c r="J357" s="66">
        <v>2.58</v>
      </c>
      <c r="K357" s="81">
        <f>AVERAGE(1.07,1.18,0.97,0.94)</f>
        <v>1.04</v>
      </c>
      <c r="L357" s="82">
        <v>44655.0</v>
      </c>
    </row>
    <row r="358">
      <c r="A358" s="66" t="s">
        <v>57</v>
      </c>
      <c r="B358" s="66">
        <v>2093.0</v>
      </c>
      <c r="C358" s="66">
        <v>2.0</v>
      </c>
      <c r="D358" s="66">
        <v>1.0</v>
      </c>
      <c r="F358" s="66">
        <v>1.265</v>
      </c>
      <c r="G358" s="66">
        <v>0.819</v>
      </c>
      <c r="H358" s="66">
        <v>0.319</v>
      </c>
      <c r="I358" s="66">
        <v>0.184</v>
      </c>
      <c r="J358" s="66">
        <v>6.25</v>
      </c>
      <c r="K358" s="81">
        <f>AVERAGE(1.77,1.65,1.51,1.76)</f>
        <v>1.6725</v>
      </c>
      <c r="L358" s="82">
        <v>44655.0</v>
      </c>
    </row>
    <row r="359">
      <c r="A359" s="66" t="s">
        <v>57</v>
      </c>
      <c r="B359" s="66">
        <v>2028.0</v>
      </c>
      <c r="C359" s="66">
        <v>2.0</v>
      </c>
      <c r="D359" s="66">
        <v>1.0</v>
      </c>
      <c r="F359" s="66">
        <v>3.176</v>
      </c>
      <c r="G359" s="66">
        <v>1.631</v>
      </c>
      <c r="H359" s="66">
        <v>0.187</v>
      </c>
      <c r="I359" s="66">
        <v>0.079</v>
      </c>
      <c r="J359" s="66">
        <v>3.96</v>
      </c>
      <c r="K359" s="81">
        <f>AVERAGE(1.24,1.23,1.22,1.23)</f>
        <v>1.23</v>
      </c>
      <c r="L359" s="82">
        <v>44655.0</v>
      </c>
    </row>
    <row r="360">
      <c r="A360" s="66" t="s">
        <v>179</v>
      </c>
      <c r="B360" s="66">
        <v>2086.0</v>
      </c>
      <c r="C360" s="66">
        <v>2.0</v>
      </c>
      <c r="D360" s="66">
        <v>0.0</v>
      </c>
      <c r="F360" s="66">
        <v>0.963</v>
      </c>
      <c r="G360" s="66">
        <v>0.357</v>
      </c>
      <c r="H360" s="66">
        <v>0.192</v>
      </c>
      <c r="I360" s="66">
        <v>0.07</v>
      </c>
      <c r="J360" s="66">
        <v>3.07</v>
      </c>
      <c r="K360" s="81">
        <f>AVERAGE(1.16,1.44,1.33,1.21)</f>
        <v>1.285</v>
      </c>
      <c r="L360" s="82">
        <v>44655.0</v>
      </c>
    </row>
    <row r="361">
      <c r="A361" s="66" t="s">
        <v>57</v>
      </c>
      <c r="B361" s="66">
        <v>2092.0</v>
      </c>
      <c r="C361" s="66">
        <v>1.0</v>
      </c>
      <c r="D361" s="66">
        <v>1.0</v>
      </c>
      <c r="F361" s="66">
        <v>0.385</v>
      </c>
      <c r="G361" s="66">
        <v>0.237</v>
      </c>
      <c r="H361" s="66">
        <v>0.112</v>
      </c>
      <c r="I361" s="66">
        <v>0.06</v>
      </c>
      <c r="J361" s="66">
        <v>3.17</v>
      </c>
      <c r="K361" s="81">
        <f>AVERAGE(1.03,1.3,1.25,1.37)</f>
        <v>1.2375</v>
      </c>
      <c r="L361" s="82">
        <v>44655.0</v>
      </c>
    </row>
    <row r="362">
      <c r="A362" s="66" t="s">
        <v>179</v>
      </c>
      <c r="B362" s="66">
        <v>2013.0</v>
      </c>
      <c r="C362" s="66">
        <v>2.0</v>
      </c>
      <c r="D362" s="66">
        <v>0.0</v>
      </c>
      <c r="F362" s="66">
        <v>0.34</v>
      </c>
      <c r="G362" s="66">
        <v>0.126</v>
      </c>
      <c r="H362" s="66">
        <v>0.018</v>
      </c>
      <c r="I362" s="66">
        <v>0.006</v>
      </c>
      <c r="J362" s="66">
        <v>0.58</v>
      </c>
      <c r="K362" s="66" t="s">
        <v>58</v>
      </c>
      <c r="L362" s="82">
        <v>44655.0</v>
      </c>
    </row>
    <row r="363">
      <c r="A363" s="66" t="s">
        <v>179</v>
      </c>
      <c r="B363" s="66">
        <v>2088.0</v>
      </c>
      <c r="C363" s="66">
        <v>1.0</v>
      </c>
      <c r="D363" s="66">
        <v>0.0</v>
      </c>
      <c r="F363" s="66">
        <v>0.264</v>
      </c>
      <c r="G363" s="66">
        <v>0.117</v>
      </c>
      <c r="H363" s="66">
        <v>0.033</v>
      </c>
      <c r="I363" s="66">
        <v>0.013</v>
      </c>
      <c r="J363" s="66">
        <v>1.08</v>
      </c>
      <c r="K363" s="81">
        <f>AVERAGE(0.72,0.73,0.82,0.88)</f>
        <v>0.7875</v>
      </c>
      <c r="L363" s="82">
        <v>44655.0</v>
      </c>
    </row>
    <row r="364">
      <c r="A364" s="66" t="s">
        <v>57</v>
      </c>
      <c r="B364" s="66">
        <v>2023.0</v>
      </c>
      <c r="C364" s="66">
        <v>3.0</v>
      </c>
      <c r="D364" s="66">
        <v>1.0</v>
      </c>
      <c r="F364" s="66">
        <v>0.984</v>
      </c>
      <c r="G364" s="66">
        <v>0.601</v>
      </c>
      <c r="H364" s="66">
        <v>0.329</v>
      </c>
      <c r="I364" s="66">
        <v>0.182</v>
      </c>
      <c r="J364" s="66">
        <v>6.8</v>
      </c>
      <c r="K364" s="81">
        <f>AVERAGE(1.61,1.61,1.61,1.54)</f>
        <v>1.5925</v>
      </c>
      <c r="L364" s="82">
        <v>44655.0</v>
      </c>
    </row>
    <row r="365">
      <c r="A365" s="66" t="s">
        <v>179</v>
      </c>
      <c r="B365" s="66">
        <v>2004.0</v>
      </c>
      <c r="C365" s="66">
        <v>2.0</v>
      </c>
      <c r="D365" s="66">
        <v>0.0</v>
      </c>
      <c r="F365" s="66">
        <v>0.958</v>
      </c>
      <c r="G365" s="66">
        <v>0.502</v>
      </c>
      <c r="H365" s="66">
        <v>0.184</v>
      </c>
      <c r="I365" s="66">
        <v>0.082</v>
      </c>
      <c r="J365" s="66">
        <v>3.34</v>
      </c>
      <c r="K365" s="81">
        <f>AVERAGE(1.27,1.19,1.22,1.19)</f>
        <v>1.2175</v>
      </c>
      <c r="L365" s="82">
        <v>44655.0</v>
      </c>
    </row>
    <row r="366">
      <c r="A366" s="66" t="s">
        <v>179</v>
      </c>
      <c r="B366" s="66">
        <v>2090.0</v>
      </c>
      <c r="C366" s="66">
        <v>2.0</v>
      </c>
      <c r="D366" s="66">
        <v>0.0</v>
      </c>
      <c r="F366" s="66">
        <v>0.892</v>
      </c>
      <c r="G366" s="66">
        <v>0.369</v>
      </c>
      <c r="H366" s="66">
        <v>0.114</v>
      </c>
      <c r="I366" s="66">
        <v>0.042</v>
      </c>
      <c r="J366" s="66">
        <v>2.64</v>
      </c>
      <c r="K366" s="81">
        <f>AVERAGE(0.88,1.03,1.01,0.88)</f>
        <v>0.95</v>
      </c>
      <c r="L366" s="82">
        <v>44655.0</v>
      </c>
    </row>
    <row r="367">
      <c r="A367" s="66" t="s">
        <v>179</v>
      </c>
      <c r="B367" s="66">
        <v>2085.0</v>
      </c>
      <c r="C367" s="66">
        <v>3.0</v>
      </c>
      <c r="D367" s="66">
        <v>0.0</v>
      </c>
      <c r="F367" s="66">
        <v>0.637</v>
      </c>
      <c r="G367" s="66">
        <v>0.253</v>
      </c>
      <c r="H367" s="66">
        <v>0.068</v>
      </c>
      <c r="I367" s="66">
        <v>0.024</v>
      </c>
      <c r="J367" s="66">
        <v>1.8</v>
      </c>
      <c r="K367" s="81">
        <f>AVERAGE(1.04,1.07,0.98,1.1)</f>
        <v>1.0475</v>
      </c>
      <c r="L367" s="82">
        <v>44655.0</v>
      </c>
    </row>
    <row r="368">
      <c r="A368" s="66" t="s">
        <v>179</v>
      </c>
      <c r="B368" s="66">
        <v>2090.0</v>
      </c>
      <c r="C368" s="66">
        <v>3.0</v>
      </c>
      <c r="D368" s="66">
        <v>0.0</v>
      </c>
      <c r="F368" s="66">
        <v>0.515</v>
      </c>
      <c r="G368" s="66">
        <v>0.233</v>
      </c>
      <c r="H368" s="66">
        <v>0.062</v>
      </c>
      <c r="I368" s="66">
        <v>0.024</v>
      </c>
      <c r="J368" s="66">
        <v>1.6</v>
      </c>
      <c r="K368" s="81">
        <f>AVERAGE(0.83,0.65,0.79,0.64)</f>
        <v>0.7275</v>
      </c>
      <c r="L368" s="82">
        <v>44655.0</v>
      </c>
    </row>
    <row r="369">
      <c r="A369" s="66" t="s">
        <v>179</v>
      </c>
      <c r="B369" s="66">
        <v>2015.0</v>
      </c>
      <c r="C369" s="66">
        <v>2.0</v>
      </c>
      <c r="D369" s="66">
        <v>0.0</v>
      </c>
      <c r="F369" s="66">
        <v>0.619</v>
      </c>
      <c r="G369" s="66">
        <v>0.298</v>
      </c>
      <c r="H369" s="66">
        <v>0.095</v>
      </c>
      <c r="I369" s="66">
        <v>0.039</v>
      </c>
      <c r="J369" s="66">
        <v>2.26</v>
      </c>
      <c r="K369" s="81">
        <f>AVERAGE(1.01,0.94,0.91,0.89)</f>
        <v>0.9375</v>
      </c>
      <c r="L369" s="82">
        <v>44655.0</v>
      </c>
    </row>
    <row r="370">
      <c r="A370" s="66" t="s">
        <v>57</v>
      </c>
      <c r="B370" s="66">
        <v>2030.0</v>
      </c>
      <c r="C370" s="66">
        <v>1.0</v>
      </c>
      <c r="D370" s="66">
        <v>1.0</v>
      </c>
      <c r="F370" s="66">
        <v>0.351</v>
      </c>
      <c r="G370" s="66">
        <v>0.192</v>
      </c>
      <c r="H370" s="66">
        <v>0.024</v>
      </c>
      <c r="I370" s="66">
        <v>0.01</v>
      </c>
      <c r="J370" s="66">
        <v>1.07</v>
      </c>
      <c r="K370" s="81">
        <f>AVERAGE(0.67,0.66,0.61,0.58)</f>
        <v>0.63</v>
      </c>
      <c r="L370" s="82">
        <v>44655.0</v>
      </c>
    </row>
    <row r="371">
      <c r="A371" s="66" t="s">
        <v>179</v>
      </c>
      <c r="B371" s="66">
        <v>1478.0</v>
      </c>
      <c r="C371" s="66">
        <v>1.0</v>
      </c>
      <c r="D371" s="66">
        <v>0.0</v>
      </c>
      <c r="F371" s="66">
        <v>0.817</v>
      </c>
      <c r="G371" s="66">
        <v>0.275</v>
      </c>
      <c r="H371" s="66">
        <v>0.245</v>
      </c>
      <c r="I371" s="66">
        <v>0.07</v>
      </c>
      <c r="J371" s="66">
        <v>6.03</v>
      </c>
      <c r="K371" s="81">
        <f>AVERAGE(1.05,0.99,1.07,1.1)</f>
        <v>1.0525</v>
      </c>
      <c r="L371" s="82">
        <v>44655.0</v>
      </c>
    </row>
    <row r="372">
      <c r="A372" s="66" t="s">
        <v>179</v>
      </c>
      <c r="B372" s="66">
        <v>2005.0</v>
      </c>
      <c r="C372" s="66">
        <v>1.0</v>
      </c>
      <c r="D372" s="66">
        <v>0.0</v>
      </c>
      <c r="F372" s="66">
        <v>0.971</v>
      </c>
      <c r="G372" s="66">
        <v>0.463</v>
      </c>
      <c r="H372" s="66">
        <v>0.109</v>
      </c>
      <c r="I372" s="66">
        <v>0.048</v>
      </c>
      <c r="J372" s="66">
        <v>2.29</v>
      </c>
      <c r="K372" s="81">
        <f>AVERAGE(0.94,1.01,1.09,1.07)</f>
        <v>1.0275</v>
      </c>
      <c r="L372" s="82">
        <v>44655.0</v>
      </c>
    </row>
    <row r="373">
      <c r="A373" s="66" t="s">
        <v>179</v>
      </c>
      <c r="B373" s="66">
        <v>2026.0</v>
      </c>
      <c r="C373" s="66">
        <v>2.0</v>
      </c>
      <c r="D373" s="66">
        <v>0.0</v>
      </c>
      <c r="F373" s="66">
        <v>0.557</v>
      </c>
      <c r="G373" s="66">
        <v>0.296</v>
      </c>
      <c r="H373" s="66">
        <v>0.107</v>
      </c>
      <c r="I373" s="66">
        <v>0.051</v>
      </c>
      <c r="J373" s="66">
        <v>1.9</v>
      </c>
      <c r="K373" s="81">
        <f>AVERAGE(0.88,1.07,0.88,0.96)</f>
        <v>0.9475</v>
      </c>
      <c r="L373" s="82">
        <v>44655.0</v>
      </c>
    </row>
    <row r="374">
      <c r="A374" s="66" t="s">
        <v>179</v>
      </c>
      <c r="B374" s="66">
        <v>2006.0</v>
      </c>
      <c r="C374" s="66">
        <v>2.0</v>
      </c>
      <c r="D374" s="66">
        <v>0.0</v>
      </c>
      <c r="F374" s="66">
        <v>0.553</v>
      </c>
      <c r="G374" s="66">
        <v>0.274</v>
      </c>
      <c r="H374" s="66">
        <v>0.032</v>
      </c>
      <c r="I374" s="66">
        <v>0.013</v>
      </c>
      <c r="J374" s="66">
        <v>0.84</v>
      </c>
      <c r="K374" s="66" t="s">
        <v>58</v>
      </c>
      <c r="L374" s="82">
        <v>44655.0</v>
      </c>
    </row>
    <row r="375">
      <c r="A375" s="66" t="s">
        <v>57</v>
      </c>
      <c r="B375" s="66">
        <v>2093.0</v>
      </c>
      <c r="C375" s="66">
        <v>3.0</v>
      </c>
      <c r="D375" s="66">
        <v>0.0</v>
      </c>
      <c r="F375" s="66">
        <v>0.193</v>
      </c>
      <c r="G375" s="66">
        <v>0.121</v>
      </c>
      <c r="H375" s="66">
        <v>0.04</v>
      </c>
      <c r="I375" s="66">
        <v>0.017</v>
      </c>
      <c r="J375" s="66">
        <v>0.67</v>
      </c>
      <c r="K375" s="66" t="s">
        <v>58</v>
      </c>
      <c r="L375" s="82">
        <v>44655.0</v>
      </c>
    </row>
    <row r="376">
      <c r="A376" s="66" t="s">
        <v>179</v>
      </c>
      <c r="B376" s="66">
        <v>2086.0</v>
      </c>
      <c r="C376" s="66">
        <v>3.0</v>
      </c>
      <c r="D376" s="66">
        <v>0.0</v>
      </c>
      <c r="F376" s="66">
        <v>1.11</v>
      </c>
      <c r="G376" s="66">
        <v>0.456</v>
      </c>
      <c r="H376" s="66">
        <v>0.096</v>
      </c>
      <c r="I376" s="66">
        <v>0.037</v>
      </c>
      <c r="J376" s="66">
        <v>1.45</v>
      </c>
      <c r="K376" s="66" t="s">
        <v>58</v>
      </c>
      <c r="L376" s="82">
        <v>44655.0</v>
      </c>
    </row>
    <row r="377">
      <c r="A377" s="66" t="s">
        <v>179</v>
      </c>
      <c r="B377" s="66">
        <v>2015.0</v>
      </c>
      <c r="C377" s="66">
        <v>1.0</v>
      </c>
      <c r="D377" s="66">
        <v>0.0</v>
      </c>
      <c r="F377" s="66">
        <v>0.867</v>
      </c>
      <c r="G377" s="66">
        <v>0.417</v>
      </c>
      <c r="H377" s="66">
        <v>0.298</v>
      </c>
      <c r="I377" s="66">
        <v>0.116</v>
      </c>
      <c r="J377" s="66">
        <v>5.98</v>
      </c>
      <c r="K377" s="81">
        <f>AVERAGE(1.33,1.15,1.07,1.3)</f>
        <v>1.2125</v>
      </c>
      <c r="L377" s="82">
        <v>44655.0</v>
      </c>
    </row>
    <row r="378">
      <c r="A378" s="66" t="s">
        <v>179</v>
      </c>
      <c r="B378" s="66">
        <v>2024.0</v>
      </c>
      <c r="C378" s="66">
        <v>3.0</v>
      </c>
      <c r="D378" s="66">
        <v>0.0</v>
      </c>
      <c r="F378" s="66">
        <v>0.898</v>
      </c>
      <c r="G378" s="66">
        <v>0.485</v>
      </c>
      <c r="H378" s="66">
        <v>0.088</v>
      </c>
      <c r="I378" s="66">
        <v>0.04</v>
      </c>
      <c r="J378" s="66">
        <v>1.35</v>
      </c>
      <c r="K378" s="81">
        <f>AVERAGE(1.24,1.09,1.05,1.11)</f>
        <v>1.1225</v>
      </c>
      <c r="L378" s="82">
        <v>44655.0</v>
      </c>
    </row>
    <row r="379">
      <c r="A379" s="66" t="s">
        <v>57</v>
      </c>
      <c r="B379" s="66">
        <v>2028.0</v>
      </c>
      <c r="C379" s="66">
        <v>3.0</v>
      </c>
      <c r="D379" s="66">
        <v>1.0</v>
      </c>
      <c r="F379" s="66">
        <v>0.862</v>
      </c>
      <c r="G379" s="66">
        <v>0.454</v>
      </c>
      <c r="H379" s="66">
        <v>0.055</v>
      </c>
      <c r="I379" s="66">
        <v>0.024</v>
      </c>
      <c r="J379" s="66">
        <v>2.55</v>
      </c>
      <c r="K379" s="81">
        <f>average(0.84,0.89,0.76,0.81)</f>
        <v>0.825</v>
      </c>
      <c r="L379" s="82">
        <v>44655.0</v>
      </c>
    </row>
    <row r="380">
      <c r="A380" s="66" t="s">
        <v>57</v>
      </c>
      <c r="B380" s="66">
        <v>2345.0</v>
      </c>
      <c r="C380" s="66">
        <v>3.0</v>
      </c>
      <c r="D380" s="66">
        <v>0.0</v>
      </c>
      <c r="F380" s="66">
        <v>1.036</v>
      </c>
      <c r="G380" s="66">
        <v>0.624</v>
      </c>
      <c r="H380" s="66">
        <v>0.296</v>
      </c>
      <c r="I380" s="66">
        <v>0.186</v>
      </c>
      <c r="J380" s="66">
        <v>6.45</v>
      </c>
      <c r="K380" s="66">
        <v>1.4025</v>
      </c>
      <c r="L380" s="82">
        <v>44676.0</v>
      </c>
      <c r="M380" s="66" t="s">
        <v>183</v>
      </c>
    </row>
    <row r="381">
      <c r="A381" s="66" t="s">
        <v>179</v>
      </c>
      <c r="B381" s="66">
        <v>2381.0</v>
      </c>
      <c r="C381" s="66">
        <v>2.0</v>
      </c>
      <c r="D381" s="66">
        <v>0.0</v>
      </c>
      <c r="F381" s="66">
        <v>0.673</v>
      </c>
      <c r="G381" s="66">
        <v>0.372</v>
      </c>
      <c r="H381" s="66">
        <v>0.049</v>
      </c>
      <c r="I381" s="66">
        <v>0.027</v>
      </c>
      <c r="J381" s="66">
        <v>0.91</v>
      </c>
      <c r="K381" s="66">
        <v>1.165</v>
      </c>
      <c r="L381" s="82">
        <v>44676.0</v>
      </c>
    </row>
    <row r="382">
      <c r="A382" s="66" t="s">
        <v>179</v>
      </c>
      <c r="B382" s="66">
        <v>2384.0</v>
      </c>
      <c r="C382" s="66">
        <v>3.0</v>
      </c>
      <c r="D382" s="66">
        <v>0.0</v>
      </c>
      <c r="F382" s="66">
        <v>0.367</v>
      </c>
      <c r="G382" s="66">
        <v>0.21</v>
      </c>
      <c r="H382" s="66">
        <v>0.033</v>
      </c>
      <c r="I382" s="66">
        <v>0.018</v>
      </c>
      <c r="J382" s="66">
        <v>1.01</v>
      </c>
      <c r="K382" s="66">
        <v>0.92</v>
      </c>
      <c r="L382" s="82">
        <v>44676.0</v>
      </c>
    </row>
    <row r="383">
      <c r="A383" s="66" t="s">
        <v>179</v>
      </c>
      <c r="B383" s="66">
        <v>2346.0</v>
      </c>
      <c r="C383" s="66">
        <v>1.0</v>
      </c>
      <c r="D383" s="66">
        <v>0.0</v>
      </c>
      <c r="F383" s="66">
        <v>0.381</v>
      </c>
      <c r="G383" s="66">
        <v>0.212</v>
      </c>
      <c r="H383" s="66">
        <v>0.026</v>
      </c>
      <c r="I383" s="66">
        <v>0.014</v>
      </c>
      <c r="J383" s="66">
        <v>0.81</v>
      </c>
      <c r="K383" s="66">
        <v>0.8175</v>
      </c>
      <c r="L383" s="82">
        <v>44676.0</v>
      </c>
    </row>
    <row r="384">
      <c r="A384" s="66" t="s">
        <v>179</v>
      </c>
      <c r="B384" s="66">
        <v>2011.0</v>
      </c>
      <c r="C384" s="66">
        <v>3.0</v>
      </c>
      <c r="D384" s="66">
        <v>0.0</v>
      </c>
      <c r="F384" s="66">
        <v>0.776</v>
      </c>
      <c r="G384" s="66">
        <v>0.428</v>
      </c>
      <c r="H384" s="66">
        <v>0.057</v>
      </c>
      <c r="I384" s="66">
        <v>0.028</v>
      </c>
      <c r="J384" s="66">
        <v>0.93</v>
      </c>
      <c r="K384" s="66">
        <v>1.3075</v>
      </c>
      <c r="L384" s="82">
        <v>44676.0</v>
      </c>
    </row>
    <row r="385">
      <c r="A385" s="66" t="s">
        <v>179</v>
      </c>
      <c r="B385" s="66">
        <v>2378.0</v>
      </c>
      <c r="C385" s="66">
        <v>1.0</v>
      </c>
      <c r="D385" s="66">
        <v>0.0</v>
      </c>
      <c r="F385" s="66">
        <v>1.337</v>
      </c>
      <c r="G385" s="66">
        <v>0.725</v>
      </c>
      <c r="H385" s="66">
        <v>0.232</v>
      </c>
      <c r="I385" s="66">
        <v>0.129</v>
      </c>
      <c r="J385" s="66">
        <v>2.39</v>
      </c>
      <c r="K385" s="66">
        <v>1.5025</v>
      </c>
      <c r="L385" s="82">
        <v>44676.0</v>
      </c>
    </row>
    <row r="386">
      <c r="A386" s="66" t="s">
        <v>57</v>
      </c>
      <c r="B386" s="66">
        <v>2377.0</v>
      </c>
      <c r="C386" s="66">
        <v>3.0</v>
      </c>
      <c r="D386" s="66">
        <v>0.0</v>
      </c>
      <c r="F386" s="66">
        <v>1.356</v>
      </c>
      <c r="G386" s="66">
        <v>0.751</v>
      </c>
      <c r="H386" s="66">
        <v>0.254</v>
      </c>
      <c r="I386" s="66">
        <v>0.131</v>
      </c>
      <c r="J386" s="66">
        <v>6.66</v>
      </c>
      <c r="K386" s="66">
        <v>1.4625</v>
      </c>
      <c r="L386" s="82">
        <v>44676.0</v>
      </c>
    </row>
    <row r="387">
      <c r="A387" s="66" t="s">
        <v>57</v>
      </c>
      <c r="B387" s="66">
        <v>2345.0</v>
      </c>
      <c r="C387" s="66">
        <v>1.0</v>
      </c>
      <c r="D387" s="66">
        <v>1.0</v>
      </c>
      <c r="F387" s="66">
        <v>1.876</v>
      </c>
      <c r="G387" s="66">
        <v>1.12</v>
      </c>
      <c r="H387" s="66">
        <v>0.332</v>
      </c>
      <c r="I387" s="66">
        <v>0.212</v>
      </c>
      <c r="J387" s="66">
        <v>7.27</v>
      </c>
      <c r="K387" s="66">
        <v>1.5875</v>
      </c>
      <c r="L387" s="82">
        <v>44676.0</v>
      </c>
    </row>
    <row r="388">
      <c r="A388" s="66" t="s">
        <v>179</v>
      </c>
      <c r="B388" s="66">
        <v>2381.0</v>
      </c>
      <c r="C388" s="66">
        <v>1.0</v>
      </c>
      <c r="D388" s="66">
        <v>0.0</v>
      </c>
      <c r="F388" s="66">
        <v>0.974</v>
      </c>
      <c r="G388" s="66">
        <v>0.532</v>
      </c>
      <c r="H388" s="66">
        <v>0.079</v>
      </c>
      <c r="I388" s="66">
        <v>0.043</v>
      </c>
      <c r="J388" s="66">
        <v>1.35</v>
      </c>
      <c r="K388" s="66">
        <v>1.3125</v>
      </c>
      <c r="L388" s="82">
        <v>44676.0</v>
      </c>
    </row>
    <row r="389">
      <c r="A389" s="66" t="s">
        <v>57</v>
      </c>
      <c r="B389" s="66">
        <v>2352.0</v>
      </c>
      <c r="C389" s="66">
        <v>3.0</v>
      </c>
      <c r="D389" s="66">
        <v>1.0</v>
      </c>
      <c r="F389" s="66">
        <v>0.465</v>
      </c>
      <c r="G389" s="66">
        <v>0.314</v>
      </c>
      <c r="H389" s="66">
        <v>0.059</v>
      </c>
      <c r="I389" s="66">
        <v>0.038</v>
      </c>
      <c r="J389" s="66">
        <v>2.23</v>
      </c>
      <c r="K389" s="66">
        <v>1.18</v>
      </c>
      <c r="L389" s="82">
        <v>44676.0</v>
      </c>
    </row>
    <row r="390">
      <c r="A390" s="66" t="s">
        <v>57</v>
      </c>
      <c r="B390" s="66">
        <v>2380.0</v>
      </c>
      <c r="C390" s="66">
        <v>1.0</v>
      </c>
      <c r="D390" s="66">
        <v>0.0</v>
      </c>
      <c r="F390" s="66">
        <v>0.422</v>
      </c>
      <c r="G390" s="66">
        <v>0.269</v>
      </c>
      <c r="H390" s="66">
        <v>0.082</v>
      </c>
      <c r="I390" s="66">
        <v>0.054</v>
      </c>
      <c r="J390" s="66">
        <v>2.07</v>
      </c>
      <c r="K390" s="66">
        <v>1.3225</v>
      </c>
      <c r="L390" s="82">
        <v>44676.0</v>
      </c>
    </row>
    <row r="391">
      <c r="A391" s="66" t="s">
        <v>57</v>
      </c>
      <c r="B391" s="66">
        <v>2331.0</v>
      </c>
      <c r="C391" s="66">
        <v>1.0</v>
      </c>
      <c r="D391" s="66">
        <v>1.0</v>
      </c>
      <c r="F391" s="66">
        <v>1.776</v>
      </c>
      <c r="G391" s="66">
        <v>1.144</v>
      </c>
      <c r="H391" s="66">
        <v>0.327</v>
      </c>
      <c r="I391" s="66">
        <v>0.217</v>
      </c>
      <c r="J391" s="66">
        <v>7.35</v>
      </c>
      <c r="K391" s="66">
        <v>1.865</v>
      </c>
      <c r="L391" s="82">
        <v>44676.0</v>
      </c>
    </row>
    <row r="392">
      <c r="A392" s="66" t="s">
        <v>57</v>
      </c>
      <c r="B392" s="66">
        <v>2301.0</v>
      </c>
      <c r="C392" s="66">
        <v>3.0</v>
      </c>
      <c r="D392" s="66">
        <v>1.0</v>
      </c>
      <c r="F392" s="66">
        <v>2.043</v>
      </c>
      <c r="G392" s="66">
        <v>1.277</v>
      </c>
      <c r="H392" s="66">
        <v>0.229</v>
      </c>
      <c r="I392" s="66">
        <v>0.145</v>
      </c>
      <c r="J392" s="66">
        <v>5.72</v>
      </c>
      <c r="K392" s="66">
        <v>1.435</v>
      </c>
      <c r="L392" s="82">
        <v>44676.0</v>
      </c>
    </row>
    <row r="393">
      <c r="A393" s="66" t="s">
        <v>57</v>
      </c>
      <c r="B393" s="66">
        <v>2354.0</v>
      </c>
      <c r="C393" s="66">
        <v>3.0</v>
      </c>
      <c r="D393" s="66">
        <v>1.0</v>
      </c>
      <c r="F393" s="66">
        <v>0.235</v>
      </c>
      <c r="G393" s="66">
        <v>0.147</v>
      </c>
      <c r="H393" s="66">
        <v>0.15</v>
      </c>
      <c r="I393" s="66">
        <v>0.087</v>
      </c>
      <c r="J393" s="66">
        <v>4.66</v>
      </c>
      <c r="K393" s="66">
        <v>1.2475</v>
      </c>
      <c r="L393" s="82">
        <v>44676.0</v>
      </c>
    </row>
    <row r="394">
      <c r="A394" s="66" t="s">
        <v>179</v>
      </c>
      <c r="B394" s="66">
        <v>2365.0</v>
      </c>
      <c r="C394" s="66">
        <v>3.0</v>
      </c>
      <c r="D394" s="66">
        <v>0.0</v>
      </c>
      <c r="F394" s="66">
        <v>0.509</v>
      </c>
      <c r="G394" s="66">
        <v>0.275</v>
      </c>
      <c r="H394" s="66">
        <v>0.032</v>
      </c>
      <c r="I394" s="66">
        <v>0.018</v>
      </c>
      <c r="J394" s="66">
        <v>0.89</v>
      </c>
      <c r="K394" s="66">
        <v>3.74</v>
      </c>
      <c r="L394" s="82">
        <v>44676.0</v>
      </c>
    </row>
    <row r="395">
      <c r="A395" s="66" t="s">
        <v>179</v>
      </c>
      <c r="B395" s="66">
        <v>2367.0</v>
      </c>
      <c r="C395" s="66">
        <v>2.0</v>
      </c>
      <c r="D395" s="66">
        <v>0.0</v>
      </c>
      <c r="F395" s="66">
        <v>0.351</v>
      </c>
      <c r="G395" s="66">
        <v>0.191</v>
      </c>
      <c r="H395" s="66">
        <v>0.022</v>
      </c>
      <c r="I395" s="66">
        <v>0.012</v>
      </c>
      <c r="J395" s="66">
        <v>1.0</v>
      </c>
      <c r="K395" s="66">
        <v>0.75</v>
      </c>
      <c r="L395" s="82">
        <v>44676.0</v>
      </c>
    </row>
    <row r="396">
      <c r="A396" s="66" t="s">
        <v>179</v>
      </c>
      <c r="B396" s="66">
        <v>2343.0</v>
      </c>
      <c r="C396" s="66">
        <v>3.0</v>
      </c>
      <c r="D396" s="66">
        <v>0.0</v>
      </c>
      <c r="F396" s="66">
        <v>0.954</v>
      </c>
      <c r="G396" s="66">
        <v>0.527</v>
      </c>
      <c r="H396" s="66">
        <v>0.116</v>
      </c>
      <c r="I396" s="66">
        <v>0.062</v>
      </c>
      <c r="J396" s="66">
        <v>1.98</v>
      </c>
      <c r="K396" s="66">
        <v>1.275</v>
      </c>
      <c r="L396" s="82">
        <v>44676.0</v>
      </c>
    </row>
    <row r="397">
      <c r="A397" s="66" t="s">
        <v>57</v>
      </c>
      <c r="B397" s="66">
        <v>2352.0</v>
      </c>
      <c r="C397" s="66">
        <v>1.0</v>
      </c>
      <c r="D397" s="66">
        <v>1.0</v>
      </c>
      <c r="F397" s="66">
        <v>0.834</v>
      </c>
      <c r="G397" s="66">
        <v>0.54</v>
      </c>
      <c r="H397" s="66">
        <v>0.152</v>
      </c>
      <c r="I397" s="66">
        <v>0.098</v>
      </c>
      <c r="J397" s="66">
        <v>5.18</v>
      </c>
      <c r="K397" s="66">
        <v>1.33</v>
      </c>
      <c r="L397" s="82">
        <v>44676.0</v>
      </c>
    </row>
    <row r="398">
      <c r="A398" s="66" t="s">
        <v>179</v>
      </c>
      <c r="B398" s="66">
        <v>2384.0</v>
      </c>
      <c r="C398" s="66">
        <v>1.0</v>
      </c>
      <c r="D398" s="66">
        <v>0.0</v>
      </c>
      <c r="F398" s="66">
        <v>0.605</v>
      </c>
      <c r="G398" s="66">
        <v>0.346</v>
      </c>
      <c r="H398" s="66">
        <v>0.064</v>
      </c>
      <c r="I398" s="66">
        <v>0.037</v>
      </c>
      <c r="J398" s="66">
        <v>1.37</v>
      </c>
      <c r="K398" s="66">
        <v>1.2925</v>
      </c>
      <c r="L398" s="82">
        <v>44676.0</v>
      </c>
    </row>
    <row r="399">
      <c r="A399" s="66" t="s">
        <v>57</v>
      </c>
      <c r="B399" s="66">
        <v>2377.0</v>
      </c>
      <c r="C399" s="66">
        <v>2.0</v>
      </c>
      <c r="D399" s="66">
        <v>0.0</v>
      </c>
      <c r="F399" s="66">
        <v>0.509</v>
      </c>
      <c r="G399" s="66">
        <v>0.29</v>
      </c>
      <c r="H399" s="66">
        <v>0.077</v>
      </c>
      <c r="I399" s="66">
        <v>0.04</v>
      </c>
      <c r="J399" s="66">
        <v>2.94</v>
      </c>
      <c r="K399" s="66">
        <v>1.0775</v>
      </c>
      <c r="L399" s="82">
        <v>44676.0</v>
      </c>
    </row>
    <row r="400">
      <c r="A400" s="66" t="s">
        <v>57</v>
      </c>
      <c r="B400" s="66">
        <v>2377.0</v>
      </c>
      <c r="C400" s="66">
        <v>1.0</v>
      </c>
      <c r="D400" s="66">
        <v>1.0</v>
      </c>
      <c r="F400" s="66">
        <v>0.079</v>
      </c>
      <c r="G400" s="66">
        <v>0.051</v>
      </c>
      <c r="H400" s="66">
        <v>0.05</v>
      </c>
      <c r="I400" s="66">
        <v>0.029</v>
      </c>
      <c r="J400" s="66">
        <v>1.11</v>
      </c>
      <c r="K400" s="66">
        <v>1.6</v>
      </c>
      <c r="L400" s="82">
        <v>44676.0</v>
      </c>
    </row>
    <row r="401">
      <c r="A401" s="66" t="s">
        <v>57</v>
      </c>
      <c r="B401" s="66">
        <v>2354.0</v>
      </c>
      <c r="C401" s="66">
        <v>2.0</v>
      </c>
      <c r="D401" s="66">
        <v>1.0</v>
      </c>
      <c r="F401" s="66">
        <v>0.252</v>
      </c>
      <c r="G401" s="66">
        <v>0.153</v>
      </c>
      <c r="H401" s="66">
        <v>0.054</v>
      </c>
      <c r="I401" s="66">
        <v>0.031</v>
      </c>
      <c r="J401" s="66">
        <v>2.06</v>
      </c>
      <c r="K401" s="66">
        <v>1.085</v>
      </c>
      <c r="L401" s="82">
        <v>44676.0</v>
      </c>
    </row>
    <row r="402">
      <c r="A402" s="66" t="s">
        <v>57</v>
      </c>
      <c r="B402" s="66">
        <v>2345.0</v>
      </c>
      <c r="C402" s="66">
        <v>2.0</v>
      </c>
      <c r="D402" s="66">
        <v>1.0</v>
      </c>
      <c r="F402" s="66">
        <v>1.067</v>
      </c>
      <c r="G402" s="66">
        <v>0.636</v>
      </c>
      <c r="H402" s="66">
        <v>0.249</v>
      </c>
      <c r="I402" s="66">
        <v>0.158</v>
      </c>
      <c r="J402" s="66">
        <v>5.89</v>
      </c>
      <c r="K402" s="66">
        <v>1.68</v>
      </c>
      <c r="L402" s="82">
        <v>44676.0</v>
      </c>
    </row>
    <row r="403">
      <c r="A403" s="66" t="s">
        <v>57</v>
      </c>
      <c r="B403" s="66">
        <v>2376.0</v>
      </c>
      <c r="C403" s="66">
        <v>2.0</v>
      </c>
      <c r="D403" s="66">
        <v>1.0</v>
      </c>
      <c r="F403" s="66">
        <v>1.964</v>
      </c>
      <c r="G403" s="66">
        <v>1.214</v>
      </c>
      <c r="H403" s="66">
        <v>0.298</v>
      </c>
      <c r="I403" s="66">
        <v>0.19</v>
      </c>
      <c r="J403" s="66">
        <v>6.4</v>
      </c>
      <c r="K403" s="66">
        <v>1.625</v>
      </c>
      <c r="L403" s="82">
        <v>44676.0</v>
      </c>
    </row>
    <row r="404">
      <c r="A404" s="66" t="s">
        <v>57</v>
      </c>
      <c r="B404" s="66">
        <v>2331.0</v>
      </c>
      <c r="C404" s="66">
        <v>1.0</v>
      </c>
      <c r="D404" s="66">
        <v>0.0</v>
      </c>
      <c r="F404" s="66">
        <v>0.344</v>
      </c>
      <c r="G404" s="66">
        <v>0.192</v>
      </c>
      <c r="H404" s="66">
        <v>0.058</v>
      </c>
      <c r="I404" s="66">
        <v>0.034</v>
      </c>
      <c r="J404" s="66">
        <v>2.2</v>
      </c>
      <c r="K404" s="66">
        <v>0.9875</v>
      </c>
      <c r="L404" s="82">
        <v>44676.0</v>
      </c>
    </row>
    <row r="405">
      <c r="A405" s="66" t="s">
        <v>179</v>
      </c>
      <c r="B405" s="66">
        <v>2009.0</v>
      </c>
      <c r="C405" s="66">
        <v>1.0</v>
      </c>
      <c r="D405" s="66">
        <v>0.0</v>
      </c>
      <c r="F405" s="66">
        <v>0.974</v>
      </c>
      <c r="G405" s="66">
        <v>0.547</v>
      </c>
      <c r="H405" s="66">
        <v>0.118</v>
      </c>
      <c r="I405" s="66">
        <v>0.064</v>
      </c>
      <c r="J405" s="66">
        <v>2.05</v>
      </c>
      <c r="K405" s="66">
        <v>1.335</v>
      </c>
      <c r="L405" s="82">
        <v>44676.0</v>
      </c>
    </row>
    <row r="406">
      <c r="A406" s="66" t="s">
        <v>179</v>
      </c>
      <c r="B406" s="66">
        <v>2383.0</v>
      </c>
      <c r="C406" s="66">
        <v>3.0</v>
      </c>
      <c r="D406" s="66">
        <v>0.0</v>
      </c>
      <c r="F406" s="66">
        <v>0.427</v>
      </c>
      <c r="G406" s="66">
        <v>0.25</v>
      </c>
      <c r="H406" s="66">
        <v>0.037</v>
      </c>
      <c r="I406" s="66">
        <v>0.02</v>
      </c>
      <c r="J406" s="66">
        <v>1.04</v>
      </c>
      <c r="K406" s="66">
        <v>1.0525</v>
      </c>
      <c r="L406" s="82">
        <v>44676.0</v>
      </c>
    </row>
    <row r="407">
      <c r="A407" s="66" t="s">
        <v>57</v>
      </c>
      <c r="B407" s="66">
        <v>2377.0</v>
      </c>
      <c r="C407" s="66">
        <v>3.0</v>
      </c>
      <c r="D407" s="66">
        <v>1.0</v>
      </c>
      <c r="F407" s="66">
        <v>0.353</v>
      </c>
      <c r="G407" s="66">
        <v>0.225</v>
      </c>
      <c r="H407" s="66">
        <v>0.28</v>
      </c>
      <c r="I407" s="66">
        <v>0.166</v>
      </c>
      <c r="J407" s="66">
        <v>4.81</v>
      </c>
      <c r="K407" s="66">
        <v>1.8275</v>
      </c>
      <c r="L407" s="82">
        <v>44676.0</v>
      </c>
    </row>
    <row r="408">
      <c r="A408" s="66" t="s">
        <v>57</v>
      </c>
      <c r="B408" s="66">
        <v>2301.0</v>
      </c>
      <c r="C408" s="66">
        <v>2.0</v>
      </c>
      <c r="D408" s="66">
        <v>1.0</v>
      </c>
      <c r="F408" s="66">
        <v>2.717</v>
      </c>
      <c r="G408" s="66">
        <v>1.666</v>
      </c>
      <c r="H408" s="66">
        <v>0.303</v>
      </c>
      <c r="I408" s="66">
        <v>0.187</v>
      </c>
      <c r="J408" s="66">
        <v>5.32</v>
      </c>
      <c r="K408" s="66">
        <v>1.7375</v>
      </c>
      <c r="L408" s="82">
        <v>44676.0</v>
      </c>
    </row>
    <row r="409">
      <c r="A409" s="66" t="s">
        <v>179</v>
      </c>
      <c r="B409" s="66">
        <v>2382.0</v>
      </c>
      <c r="C409" s="66">
        <v>3.0</v>
      </c>
      <c r="D409" s="66">
        <v>0.0</v>
      </c>
      <c r="F409" s="66">
        <v>0.531</v>
      </c>
      <c r="G409" s="66">
        <v>0.312</v>
      </c>
      <c r="H409" s="66">
        <v>0.044</v>
      </c>
      <c r="I409" s="66">
        <v>0.025</v>
      </c>
      <c r="J409" s="66">
        <v>1.19</v>
      </c>
      <c r="K409" s="66">
        <v>1.065</v>
      </c>
      <c r="L409" s="82">
        <v>44676.0</v>
      </c>
    </row>
    <row r="410">
      <c r="A410" s="66" t="s">
        <v>179</v>
      </c>
      <c r="B410" s="66">
        <v>2381.0</v>
      </c>
      <c r="C410" s="66">
        <v>3.0</v>
      </c>
      <c r="D410" s="66">
        <v>0.0</v>
      </c>
      <c r="F410" s="66">
        <v>1.086</v>
      </c>
      <c r="G410" s="66">
        <v>0.59</v>
      </c>
      <c r="H410" s="66">
        <v>0.097</v>
      </c>
      <c r="I410" s="66">
        <v>0.051</v>
      </c>
      <c r="J410" s="66">
        <v>1.5</v>
      </c>
      <c r="K410" s="66">
        <v>1.33</v>
      </c>
      <c r="L410" s="82">
        <v>44676.0</v>
      </c>
    </row>
    <row r="411">
      <c r="A411" s="66" t="s">
        <v>57</v>
      </c>
      <c r="B411" s="66">
        <v>2380.0</v>
      </c>
      <c r="C411" s="66">
        <v>3.0</v>
      </c>
      <c r="D411" s="66">
        <v>1.0</v>
      </c>
      <c r="F411" s="66">
        <v>1.302</v>
      </c>
      <c r="G411" s="66">
        <v>0.849</v>
      </c>
      <c r="H411" s="66">
        <v>0.217</v>
      </c>
      <c r="I411" s="66">
        <v>0.147</v>
      </c>
      <c r="J411" s="66">
        <v>4.45</v>
      </c>
      <c r="K411" s="66">
        <v>1.4875</v>
      </c>
      <c r="L411" s="82">
        <v>44676.0</v>
      </c>
    </row>
    <row r="412">
      <c r="A412" s="66" t="s">
        <v>57</v>
      </c>
      <c r="B412" s="66">
        <v>2354.0</v>
      </c>
      <c r="C412" s="66">
        <v>1.0</v>
      </c>
      <c r="D412" s="66">
        <v>0.0</v>
      </c>
      <c r="F412" s="66">
        <v>0.778</v>
      </c>
      <c r="G412" s="66">
        <v>0.419</v>
      </c>
      <c r="H412" s="66">
        <v>0.05</v>
      </c>
      <c r="I412" s="66">
        <v>0.025</v>
      </c>
      <c r="J412" s="66">
        <v>2.65</v>
      </c>
      <c r="K412" s="66">
        <v>0.8625</v>
      </c>
      <c r="L412" s="82">
        <v>44676.0</v>
      </c>
    </row>
    <row r="413">
      <c r="A413" s="66" t="s">
        <v>179</v>
      </c>
      <c r="B413" s="66">
        <v>2011.0</v>
      </c>
      <c r="C413" s="66">
        <v>1.0</v>
      </c>
      <c r="D413" s="66">
        <v>0.0</v>
      </c>
      <c r="F413" s="66">
        <v>0.781</v>
      </c>
      <c r="G413" s="66">
        <v>0.431</v>
      </c>
      <c r="H413" s="66">
        <v>0.078</v>
      </c>
      <c r="I413" s="66">
        <v>0.039</v>
      </c>
      <c r="J413" s="66">
        <v>1.2</v>
      </c>
      <c r="K413" s="66">
        <v>1.15</v>
      </c>
      <c r="L413" s="82">
        <v>44676.0</v>
      </c>
    </row>
    <row r="414">
      <c r="A414" s="66" t="s">
        <v>179</v>
      </c>
      <c r="B414" s="66">
        <v>2372.0</v>
      </c>
      <c r="C414" s="66">
        <v>2.0</v>
      </c>
      <c r="D414" s="66">
        <v>0.0</v>
      </c>
      <c r="F414" s="66">
        <v>0.759</v>
      </c>
      <c r="G414" s="66">
        <v>0.413</v>
      </c>
      <c r="H414" s="66">
        <v>0.04</v>
      </c>
      <c r="I414" s="66">
        <v>0.021</v>
      </c>
      <c r="J414" s="66">
        <v>1.11</v>
      </c>
      <c r="K414" s="66">
        <v>0.965</v>
      </c>
      <c r="L414" s="82">
        <v>44676.0</v>
      </c>
    </row>
    <row r="415">
      <c r="A415" s="66" t="s">
        <v>179</v>
      </c>
      <c r="B415" s="66">
        <v>2370.0</v>
      </c>
      <c r="C415" s="66">
        <v>1.0</v>
      </c>
      <c r="D415" s="66">
        <v>0.0</v>
      </c>
      <c r="F415" s="66">
        <v>0.407</v>
      </c>
      <c r="G415" s="66">
        <v>0.218</v>
      </c>
      <c r="H415" s="66">
        <v>0.066</v>
      </c>
      <c r="I415" s="66">
        <v>0.035</v>
      </c>
      <c r="J415" s="66">
        <v>1.47</v>
      </c>
      <c r="K415" s="66">
        <v>0.8975</v>
      </c>
      <c r="L415" s="82">
        <v>44676.0</v>
      </c>
    </row>
    <row r="416">
      <c r="A416" s="66" t="s">
        <v>179</v>
      </c>
      <c r="B416" s="66">
        <v>2009.0</v>
      </c>
      <c r="C416" s="66">
        <v>2.0</v>
      </c>
      <c r="D416" s="66">
        <v>0.0</v>
      </c>
      <c r="F416" s="66">
        <v>0.829</v>
      </c>
      <c r="G416" s="66">
        <v>0.47</v>
      </c>
      <c r="H416" s="66">
        <v>0.104</v>
      </c>
      <c r="I416" s="66">
        <v>0.056</v>
      </c>
      <c r="J416" s="66">
        <v>1.79</v>
      </c>
      <c r="K416" s="66">
        <v>1.1175</v>
      </c>
      <c r="L416" s="82">
        <v>44676.0</v>
      </c>
    </row>
    <row r="417">
      <c r="A417" s="66" t="s">
        <v>179</v>
      </c>
      <c r="B417" s="66">
        <v>2372.0</v>
      </c>
      <c r="C417" s="66">
        <v>1.0</v>
      </c>
      <c r="D417" s="66">
        <v>0.0</v>
      </c>
      <c r="F417" s="66">
        <v>0.986</v>
      </c>
      <c r="G417" s="66">
        <v>0.539</v>
      </c>
      <c r="H417" s="66">
        <v>0.103</v>
      </c>
      <c r="I417" s="66">
        <v>0.055</v>
      </c>
      <c r="J417" s="66">
        <v>1.92</v>
      </c>
      <c r="K417" s="66">
        <v>1.2775</v>
      </c>
      <c r="L417" s="82">
        <v>44676.0</v>
      </c>
    </row>
    <row r="418">
      <c r="A418" s="66" t="s">
        <v>57</v>
      </c>
      <c r="B418" s="66">
        <v>2380.0</v>
      </c>
      <c r="C418" s="66">
        <v>2.0</v>
      </c>
      <c r="D418" s="66">
        <v>1.0</v>
      </c>
      <c r="F418" s="66">
        <v>1.488</v>
      </c>
      <c r="G418" s="66">
        <v>0.981</v>
      </c>
      <c r="H418" s="66">
        <v>0.396</v>
      </c>
      <c r="I418" s="66">
        <v>0.26</v>
      </c>
      <c r="J418" s="66">
        <v>5.54</v>
      </c>
      <c r="K418" s="66">
        <v>2.0125</v>
      </c>
      <c r="L418" s="82">
        <v>44676.0</v>
      </c>
    </row>
    <row r="419">
      <c r="A419" s="66" t="s">
        <v>57</v>
      </c>
      <c r="B419" s="66">
        <v>2352.0</v>
      </c>
      <c r="C419" s="66">
        <v>2.0</v>
      </c>
      <c r="D419" s="66">
        <v>1.0</v>
      </c>
      <c r="F419" s="66">
        <v>0.088</v>
      </c>
      <c r="G419" s="66">
        <v>0.059</v>
      </c>
      <c r="H419" s="66">
        <v>0.034</v>
      </c>
      <c r="I419" s="66">
        <v>0.022</v>
      </c>
      <c r="J419" s="66">
        <v>2.03</v>
      </c>
      <c r="K419" s="66">
        <v>1.335</v>
      </c>
      <c r="L419" s="82">
        <v>44676.0</v>
      </c>
    </row>
    <row r="420">
      <c r="A420" s="66" t="s">
        <v>179</v>
      </c>
      <c r="B420" s="66">
        <v>2371.0</v>
      </c>
      <c r="C420" s="66">
        <v>2.0</v>
      </c>
      <c r="D420" s="66">
        <v>0.0</v>
      </c>
      <c r="F420" s="66">
        <v>1.034</v>
      </c>
      <c r="G420" s="66">
        <v>0.541</v>
      </c>
      <c r="H420" s="66">
        <v>0.126</v>
      </c>
      <c r="I420" s="66">
        <v>0.064</v>
      </c>
      <c r="J420" s="66">
        <v>2.22</v>
      </c>
      <c r="K420" s="66">
        <v>1.3625</v>
      </c>
      <c r="L420" s="82">
        <v>44676.0</v>
      </c>
    </row>
    <row r="421">
      <c r="A421" s="66" t="s">
        <v>179</v>
      </c>
      <c r="B421" s="66">
        <v>2383.0</v>
      </c>
      <c r="C421" s="66">
        <v>2.0</v>
      </c>
      <c r="D421" s="66">
        <v>0.0</v>
      </c>
      <c r="F421" s="66">
        <v>1.182</v>
      </c>
      <c r="G421" s="66">
        <v>0.688</v>
      </c>
      <c r="H421" s="66">
        <v>0.142</v>
      </c>
      <c r="I421" s="66">
        <v>0.078</v>
      </c>
      <c r="J421" s="66">
        <v>1.92</v>
      </c>
      <c r="K421" s="66">
        <v>1.5525</v>
      </c>
      <c r="L421" s="82">
        <v>44676.0</v>
      </c>
    </row>
    <row r="422">
      <c r="A422" s="66" t="s">
        <v>179</v>
      </c>
      <c r="B422" s="66">
        <v>2382.0</v>
      </c>
      <c r="C422" s="66">
        <v>2.0</v>
      </c>
      <c r="D422" s="66">
        <v>0.0</v>
      </c>
      <c r="F422" s="66">
        <v>0.609</v>
      </c>
      <c r="G422" s="66">
        <v>0.358</v>
      </c>
      <c r="H422" s="66">
        <v>0.04</v>
      </c>
      <c r="I422" s="66">
        <v>0.023</v>
      </c>
      <c r="J422" s="66">
        <v>1.11</v>
      </c>
      <c r="K422" s="66">
        <v>1.16</v>
      </c>
      <c r="L422" s="82">
        <v>44676.0</v>
      </c>
    </row>
    <row r="423">
      <c r="A423" s="66" t="s">
        <v>179</v>
      </c>
      <c r="B423" s="66">
        <v>2379.0</v>
      </c>
      <c r="C423" s="66">
        <v>1.0</v>
      </c>
      <c r="D423" s="66">
        <v>0.0</v>
      </c>
      <c r="F423" s="66">
        <v>0.969</v>
      </c>
      <c r="G423" s="66">
        <v>0.536</v>
      </c>
      <c r="H423" s="66">
        <v>0.08</v>
      </c>
      <c r="I423" s="66">
        <v>0.044</v>
      </c>
      <c r="J423" s="66">
        <v>1.61</v>
      </c>
      <c r="K423" s="66">
        <v>1.315</v>
      </c>
      <c r="L423" s="82">
        <v>44676.0</v>
      </c>
    </row>
    <row r="424">
      <c r="A424" s="66" t="s">
        <v>179</v>
      </c>
      <c r="B424" s="66">
        <v>2378.0</v>
      </c>
      <c r="C424" s="66">
        <v>2.0</v>
      </c>
      <c r="D424" s="66">
        <v>0.0</v>
      </c>
      <c r="F424" s="66">
        <v>0.719</v>
      </c>
      <c r="G424" s="66">
        <v>0.392</v>
      </c>
      <c r="H424" s="66">
        <v>0.052</v>
      </c>
      <c r="I424" s="66">
        <v>0.029</v>
      </c>
      <c r="J424" s="66">
        <v>1.16</v>
      </c>
      <c r="K424" s="66">
        <v>1.03</v>
      </c>
      <c r="L424" s="82">
        <v>44676.0</v>
      </c>
    </row>
    <row r="425">
      <c r="A425" s="66" t="s">
        <v>179</v>
      </c>
      <c r="B425" s="66">
        <v>2379.0</v>
      </c>
      <c r="C425" s="66">
        <v>2.0</v>
      </c>
      <c r="D425" s="66">
        <v>0.0</v>
      </c>
      <c r="F425" s="66">
        <v>0.494</v>
      </c>
      <c r="G425" s="66">
        <v>0.273</v>
      </c>
      <c r="H425" s="66">
        <v>0.025</v>
      </c>
      <c r="I425" s="66">
        <v>0.013</v>
      </c>
      <c r="J425" s="66">
        <v>0.71</v>
      </c>
      <c r="K425" s="66">
        <v>1.065</v>
      </c>
      <c r="L425" s="82">
        <v>44676.0</v>
      </c>
    </row>
    <row r="426">
      <c r="A426" s="66" t="s">
        <v>179</v>
      </c>
      <c r="B426" s="66">
        <v>2384.0</v>
      </c>
      <c r="C426" s="66">
        <v>2.0</v>
      </c>
      <c r="D426" s="66">
        <v>0.0</v>
      </c>
      <c r="F426" s="66">
        <v>0.37</v>
      </c>
      <c r="G426" s="66">
        <v>0.21</v>
      </c>
      <c r="H426" s="66">
        <v>0.035</v>
      </c>
      <c r="I426" s="66">
        <v>0.019</v>
      </c>
      <c r="J426" s="66">
        <v>1.04</v>
      </c>
      <c r="K426" s="66">
        <v>0.9525</v>
      </c>
      <c r="L426" s="82">
        <v>44676.0</v>
      </c>
    </row>
    <row r="427">
      <c r="A427" s="66" t="s">
        <v>179</v>
      </c>
      <c r="B427" s="66">
        <v>2365.0</v>
      </c>
      <c r="C427" s="66">
        <v>2.0</v>
      </c>
      <c r="D427" s="66">
        <v>0.0</v>
      </c>
      <c r="F427" s="66">
        <v>0.338</v>
      </c>
      <c r="G427" s="66">
        <v>0.183</v>
      </c>
      <c r="H427" s="66">
        <v>0.02</v>
      </c>
      <c r="I427" s="66">
        <v>0.011</v>
      </c>
      <c r="J427" s="66">
        <v>0.7</v>
      </c>
      <c r="K427" s="66">
        <v>0.7175</v>
      </c>
      <c r="L427" s="82">
        <v>44676.0</v>
      </c>
    </row>
    <row r="428">
      <c r="A428" s="66" t="s">
        <v>179</v>
      </c>
      <c r="B428" s="66">
        <v>2371.0</v>
      </c>
      <c r="C428" s="66">
        <v>1.0</v>
      </c>
      <c r="D428" s="66">
        <v>0.0</v>
      </c>
      <c r="F428" s="66">
        <v>0.771</v>
      </c>
      <c r="G428" s="66">
        <v>0.403</v>
      </c>
      <c r="H428" s="66">
        <v>0.045</v>
      </c>
      <c r="I428" s="66">
        <v>0.023</v>
      </c>
      <c r="J428" s="66">
        <v>1.23</v>
      </c>
      <c r="K428" s="66">
        <v>1.1425</v>
      </c>
      <c r="L428" s="82">
        <v>44676.0</v>
      </c>
    </row>
    <row r="429">
      <c r="A429" s="66" t="s">
        <v>179</v>
      </c>
      <c r="B429" s="66">
        <v>2378.0</v>
      </c>
      <c r="C429" s="66">
        <v>3.0</v>
      </c>
      <c r="D429" s="66">
        <v>0.0</v>
      </c>
      <c r="F429" s="66">
        <v>0.688</v>
      </c>
      <c r="G429" s="66">
        <v>0.373</v>
      </c>
      <c r="H429" s="66">
        <v>0.069</v>
      </c>
      <c r="I429" s="66">
        <v>0.038</v>
      </c>
      <c r="J429" s="66">
        <v>1.54</v>
      </c>
      <c r="K429" s="66">
        <v>1.125</v>
      </c>
      <c r="L429" s="82">
        <v>44676.0</v>
      </c>
    </row>
    <row r="430">
      <c r="A430" s="66" t="s">
        <v>179</v>
      </c>
      <c r="B430" s="66">
        <v>2372.0</v>
      </c>
      <c r="C430" s="66">
        <v>3.0</v>
      </c>
      <c r="D430" s="66">
        <v>0.0</v>
      </c>
      <c r="F430" s="66">
        <v>1.142</v>
      </c>
      <c r="G430" s="66">
        <v>0.625</v>
      </c>
      <c r="H430" s="66">
        <v>0.093</v>
      </c>
      <c r="I430" s="66">
        <v>0.048</v>
      </c>
      <c r="J430" s="66">
        <v>2.02</v>
      </c>
      <c r="K430" s="66">
        <v>1.275</v>
      </c>
      <c r="L430" s="82">
        <v>44676.0</v>
      </c>
    </row>
    <row r="431">
      <c r="A431" s="66" t="s">
        <v>179</v>
      </c>
      <c r="B431" s="66">
        <v>2367.0</v>
      </c>
      <c r="C431" s="66">
        <v>3.0</v>
      </c>
      <c r="D431" s="66">
        <v>0.0</v>
      </c>
      <c r="F431" s="66">
        <v>0.374</v>
      </c>
      <c r="G431" s="66">
        <v>0.205</v>
      </c>
      <c r="H431" s="66">
        <v>0.038</v>
      </c>
      <c r="I431" s="66">
        <v>0.021</v>
      </c>
      <c r="J431" s="66">
        <v>1.67</v>
      </c>
      <c r="K431" s="66">
        <v>0.755</v>
      </c>
      <c r="L431" s="82">
        <v>44676.0</v>
      </c>
    </row>
    <row r="432">
      <c r="A432" s="66" t="s">
        <v>57</v>
      </c>
      <c r="B432" s="66">
        <v>2354.0</v>
      </c>
      <c r="C432" s="66">
        <v>2.0</v>
      </c>
      <c r="D432" s="66">
        <v>0.0</v>
      </c>
      <c r="F432" s="66">
        <v>0.862</v>
      </c>
      <c r="G432" s="66">
        <v>0.469</v>
      </c>
      <c r="H432" s="66">
        <v>0.074</v>
      </c>
      <c r="I432" s="66">
        <v>0.038</v>
      </c>
      <c r="J432" s="66">
        <v>3.87</v>
      </c>
      <c r="K432" s="66">
        <v>0.93</v>
      </c>
      <c r="L432" s="82">
        <v>44676.0</v>
      </c>
    </row>
    <row r="433">
      <c r="A433" s="66" t="s">
        <v>179</v>
      </c>
      <c r="B433" s="66">
        <v>2010.0</v>
      </c>
      <c r="C433" s="66">
        <v>2.0</v>
      </c>
      <c r="D433" s="66">
        <v>0.0</v>
      </c>
      <c r="F433" s="66">
        <v>0.676</v>
      </c>
      <c r="G433" s="66">
        <v>0.361</v>
      </c>
      <c r="H433" s="66">
        <v>0.118</v>
      </c>
      <c r="I433" s="66">
        <v>0.06</v>
      </c>
      <c r="J433" s="66">
        <v>1.37</v>
      </c>
      <c r="K433" s="66">
        <v>1.3025</v>
      </c>
      <c r="L433" s="82">
        <v>44676.0</v>
      </c>
    </row>
    <row r="434">
      <c r="A434" s="66" t="s">
        <v>57</v>
      </c>
      <c r="B434" s="66">
        <v>2380.0</v>
      </c>
      <c r="C434" s="66">
        <v>1.0</v>
      </c>
      <c r="D434" s="66">
        <v>1.0</v>
      </c>
      <c r="F434" s="66">
        <v>1.432</v>
      </c>
      <c r="G434" s="66">
        <v>0.918</v>
      </c>
      <c r="H434" s="66">
        <v>0.239</v>
      </c>
      <c r="I434" s="66">
        <v>0.156</v>
      </c>
      <c r="J434" s="66">
        <v>4.99</v>
      </c>
      <c r="K434" s="66">
        <v>1.805</v>
      </c>
      <c r="L434" s="82">
        <v>44676.0</v>
      </c>
    </row>
    <row r="435">
      <c r="A435" s="66" t="s">
        <v>179</v>
      </c>
      <c r="B435" s="66">
        <v>2346.0</v>
      </c>
      <c r="C435" s="66">
        <v>3.0</v>
      </c>
      <c r="D435" s="66">
        <v>0.0</v>
      </c>
      <c r="F435" s="66">
        <v>0.329</v>
      </c>
      <c r="G435" s="66">
        <v>0.185</v>
      </c>
      <c r="H435" s="66">
        <v>0.021</v>
      </c>
      <c r="I435" s="66">
        <v>0.012</v>
      </c>
      <c r="J435" s="66">
        <v>0.82</v>
      </c>
      <c r="K435" s="66">
        <v>0.76</v>
      </c>
      <c r="L435" s="82">
        <v>44676.0</v>
      </c>
    </row>
    <row r="436">
      <c r="A436" s="66" t="s">
        <v>179</v>
      </c>
      <c r="B436" s="66">
        <v>2369.0</v>
      </c>
      <c r="C436" s="66">
        <v>2.0</v>
      </c>
      <c r="D436" s="66">
        <v>0.0</v>
      </c>
      <c r="F436" s="66">
        <v>0.608</v>
      </c>
      <c r="G436" s="66">
        <v>0.335</v>
      </c>
      <c r="H436" s="66">
        <v>0.022</v>
      </c>
      <c r="I436" s="66">
        <v>0.012</v>
      </c>
      <c r="J436" s="66">
        <v>0.58</v>
      </c>
      <c r="K436" s="66">
        <v>1.035</v>
      </c>
      <c r="L436" s="82">
        <v>44676.0</v>
      </c>
    </row>
    <row r="437">
      <c r="A437" s="66" t="s">
        <v>179</v>
      </c>
      <c r="B437" s="66">
        <v>2347.0</v>
      </c>
      <c r="C437" s="66">
        <v>2.0</v>
      </c>
      <c r="D437" s="66">
        <v>0.0</v>
      </c>
      <c r="F437" s="66">
        <v>0.728</v>
      </c>
      <c r="G437" s="66">
        <v>0.385</v>
      </c>
      <c r="H437" s="66">
        <v>0.051</v>
      </c>
      <c r="I437" s="66">
        <v>0.026</v>
      </c>
      <c r="J437" s="66">
        <v>1.0</v>
      </c>
      <c r="K437" s="66">
        <v>0.985</v>
      </c>
      <c r="L437" s="82">
        <v>44676.0</v>
      </c>
    </row>
    <row r="438">
      <c r="A438" s="66" t="s">
        <v>179</v>
      </c>
      <c r="B438" s="66">
        <v>2009.0</v>
      </c>
      <c r="C438" s="66">
        <v>3.0</v>
      </c>
      <c r="D438" s="66">
        <v>0.0</v>
      </c>
      <c r="F438" s="66">
        <v>0.661</v>
      </c>
      <c r="G438" s="66">
        <v>0.378</v>
      </c>
      <c r="H438" s="66">
        <v>0.093</v>
      </c>
      <c r="I438" s="66">
        <v>0.051</v>
      </c>
      <c r="J438" s="66">
        <v>1.86</v>
      </c>
      <c r="K438" s="66">
        <v>1.2575</v>
      </c>
      <c r="L438" s="82">
        <v>44676.0</v>
      </c>
    </row>
    <row r="439">
      <c r="A439" s="66" t="s">
        <v>57</v>
      </c>
      <c r="B439" s="66">
        <v>2376.0</v>
      </c>
      <c r="C439" s="66">
        <v>3.0</v>
      </c>
      <c r="D439" s="66">
        <v>1.0</v>
      </c>
      <c r="F439" s="66">
        <v>2.237</v>
      </c>
      <c r="G439" s="66">
        <v>1.414</v>
      </c>
      <c r="H439" s="66">
        <v>0.376</v>
      </c>
      <c r="I439" s="66">
        <v>0.242</v>
      </c>
      <c r="J439" s="66">
        <v>6.32</v>
      </c>
      <c r="K439" s="66">
        <v>1.7825</v>
      </c>
      <c r="L439" s="82">
        <v>44676.0</v>
      </c>
    </row>
    <row r="440">
      <c r="A440" s="66" t="s">
        <v>57</v>
      </c>
      <c r="B440" s="66">
        <v>2376.0</v>
      </c>
      <c r="C440" s="66">
        <v>1.0</v>
      </c>
      <c r="D440" s="66">
        <v>1.0</v>
      </c>
      <c r="F440" s="66">
        <v>1.325</v>
      </c>
      <c r="G440" s="66">
        <v>0.824</v>
      </c>
      <c r="H440" s="66">
        <v>0.181</v>
      </c>
      <c r="I440" s="66">
        <v>0.114</v>
      </c>
      <c r="J440" s="66">
        <v>4.98</v>
      </c>
      <c r="K440" s="66">
        <v>1.39</v>
      </c>
      <c r="L440" s="82">
        <v>44676.0</v>
      </c>
    </row>
    <row r="441">
      <c r="A441" s="66" t="s">
        <v>179</v>
      </c>
      <c r="B441" s="66">
        <v>2343.0</v>
      </c>
      <c r="C441" s="66">
        <v>1.0</v>
      </c>
      <c r="D441" s="66">
        <v>0.0</v>
      </c>
      <c r="F441" s="66">
        <v>0.789</v>
      </c>
      <c r="G441" s="66">
        <v>0.435</v>
      </c>
      <c r="H441" s="66">
        <v>0.081</v>
      </c>
      <c r="I441" s="66">
        <v>0.042</v>
      </c>
      <c r="J441" s="66">
        <v>1.56</v>
      </c>
      <c r="K441" s="66">
        <v>1.2825</v>
      </c>
      <c r="L441" s="82">
        <v>44676.0</v>
      </c>
    </row>
    <row r="442">
      <c r="A442" s="66" t="s">
        <v>57</v>
      </c>
      <c r="B442" s="66">
        <v>2331.0</v>
      </c>
      <c r="C442" s="66">
        <v>2.0</v>
      </c>
      <c r="D442" s="66">
        <v>1.0</v>
      </c>
      <c r="F442" s="66">
        <v>0.749</v>
      </c>
      <c r="G442" s="66">
        <v>0.497</v>
      </c>
      <c r="H442" s="66">
        <v>0.183</v>
      </c>
      <c r="I442" s="66">
        <v>0.12</v>
      </c>
      <c r="J442" s="66">
        <v>5.27</v>
      </c>
      <c r="K442" s="66">
        <v>1.5</v>
      </c>
      <c r="L442" s="82">
        <v>44676.0</v>
      </c>
    </row>
    <row r="443">
      <c r="A443" s="66" t="s">
        <v>179</v>
      </c>
      <c r="B443" s="66">
        <v>2010.0</v>
      </c>
      <c r="C443" s="66">
        <v>3.0</v>
      </c>
      <c r="D443" s="66">
        <v>0.0</v>
      </c>
      <c r="F443" s="66">
        <v>0.888</v>
      </c>
      <c r="G443" s="66">
        <v>0.485</v>
      </c>
      <c r="H443" s="66">
        <v>0.149</v>
      </c>
      <c r="I443" s="66">
        <v>0.072</v>
      </c>
      <c r="J443" s="66">
        <v>2.54</v>
      </c>
      <c r="K443" s="66">
        <v>1.6075</v>
      </c>
      <c r="L443" s="82">
        <v>44676.0</v>
      </c>
    </row>
    <row r="444">
      <c r="A444" s="66" t="s">
        <v>179</v>
      </c>
      <c r="B444" s="66">
        <v>2343.0</v>
      </c>
      <c r="C444" s="66">
        <v>2.0</v>
      </c>
      <c r="D444" s="66">
        <v>0.0</v>
      </c>
      <c r="F444" s="66">
        <v>1.076</v>
      </c>
      <c r="G444" s="66">
        <v>0.598</v>
      </c>
      <c r="H444" s="66">
        <v>0.08</v>
      </c>
      <c r="I444" s="66">
        <v>0.043</v>
      </c>
      <c r="J444" s="66">
        <v>1.78</v>
      </c>
      <c r="K444" s="66">
        <v>1.3225</v>
      </c>
      <c r="L444" s="82">
        <v>44676.0</v>
      </c>
    </row>
    <row r="445">
      <c r="A445" s="66" t="s">
        <v>57</v>
      </c>
      <c r="B445" s="66">
        <v>2331.0</v>
      </c>
      <c r="C445" s="66">
        <v>3.0</v>
      </c>
      <c r="D445" s="66">
        <v>0.0</v>
      </c>
      <c r="F445" s="66">
        <v>0.171</v>
      </c>
      <c r="G445" s="66">
        <v>0.099</v>
      </c>
      <c r="H445" s="66">
        <v>0.053</v>
      </c>
      <c r="I445" s="66">
        <v>0.029</v>
      </c>
      <c r="J445" s="66">
        <v>2.31</v>
      </c>
      <c r="K445" s="66">
        <v>0.8875</v>
      </c>
      <c r="L445" s="82">
        <v>44676.0</v>
      </c>
    </row>
    <row r="446">
      <c r="A446" s="66" t="s">
        <v>179</v>
      </c>
      <c r="B446" s="66">
        <v>2347.0</v>
      </c>
      <c r="C446" s="66">
        <v>3.0</v>
      </c>
      <c r="D446" s="66">
        <v>0.0</v>
      </c>
      <c r="F446" s="66">
        <v>0.834</v>
      </c>
      <c r="G446" s="66">
        <v>0.442</v>
      </c>
      <c r="H446" s="66">
        <v>0.062</v>
      </c>
      <c r="I446" s="66">
        <v>0.032</v>
      </c>
      <c r="J446" s="66">
        <v>1.35</v>
      </c>
      <c r="K446" s="66">
        <v>0.955</v>
      </c>
      <c r="L446" s="82">
        <v>44676.0</v>
      </c>
    </row>
    <row r="447">
      <c r="A447" s="66" t="s">
        <v>179</v>
      </c>
      <c r="B447" s="66">
        <v>2010.0</v>
      </c>
      <c r="C447" s="66">
        <v>1.0</v>
      </c>
      <c r="D447" s="66">
        <v>0.0</v>
      </c>
      <c r="F447" s="66">
        <v>0.86</v>
      </c>
      <c r="G447" s="66">
        <v>0.462</v>
      </c>
      <c r="H447" s="66">
        <v>0.092</v>
      </c>
      <c r="I447" s="66">
        <v>0.046</v>
      </c>
      <c r="J447" s="66">
        <v>1.54</v>
      </c>
      <c r="K447" s="66">
        <v>1.4275</v>
      </c>
      <c r="L447" s="82">
        <v>44676.0</v>
      </c>
    </row>
    <row r="448">
      <c r="A448" s="66" t="s">
        <v>179</v>
      </c>
      <c r="B448" s="83">
        <v>2345.0</v>
      </c>
      <c r="C448" s="66">
        <v>3.0</v>
      </c>
      <c r="D448" s="66">
        <v>0.0</v>
      </c>
      <c r="F448" s="66">
        <v>1.015</v>
      </c>
      <c r="G448" s="66">
        <v>0.548</v>
      </c>
      <c r="H448" s="66">
        <v>0.094</v>
      </c>
      <c r="I448" s="66">
        <v>0.049</v>
      </c>
      <c r="J448" s="66">
        <v>1.46</v>
      </c>
      <c r="K448" s="66">
        <v>1.4375</v>
      </c>
      <c r="L448" s="82">
        <v>44676.0</v>
      </c>
      <c r="M448" s="66" t="s">
        <v>184</v>
      </c>
    </row>
    <row r="449">
      <c r="A449" s="66" t="s">
        <v>179</v>
      </c>
      <c r="B449" s="66">
        <v>2369.0</v>
      </c>
      <c r="C449" s="66">
        <v>3.0</v>
      </c>
      <c r="D449" s="66">
        <v>0.0</v>
      </c>
      <c r="F449" s="66">
        <v>0.763</v>
      </c>
      <c r="G449" s="66">
        <v>0.423</v>
      </c>
      <c r="H449" s="66">
        <v>0.048</v>
      </c>
      <c r="I449" s="66">
        <v>0.027</v>
      </c>
      <c r="J449" s="66">
        <v>1.25</v>
      </c>
      <c r="K449" s="66">
        <v>0.9425</v>
      </c>
      <c r="L449" s="82">
        <v>44676.0</v>
      </c>
    </row>
    <row r="450">
      <c r="A450" s="66" t="s">
        <v>179</v>
      </c>
      <c r="B450" s="66">
        <v>2382.0</v>
      </c>
      <c r="C450" s="66">
        <v>1.0</v>
      </c>
      <c r="D450" s="66">
        <v>0.0</v>
      </c>
      <c r="F450" s="66">
        <v>0.706</v>
      </c>
      <c r="G450" s="66">
        <v>0.416</v>
      </c>
      <c r="H450" s="66">
        <v>0.058</v>
      </c>
      <c r="I450" s="66">
        <v>0.033</v>
      </c>
      <c r="J450" s="66">
        <v>1.23</v>
      </c>
      <c r="K450" s="66">
        <v>1.1775</v>
      </c>
      <c r="L450" s="82">
        <v>44676.0</v>
      </c>
    </row>
    <row r="451">
      <c r="A451" s="66" t="s">
        <v>179</v>
      </c>
      <c r="B451" s="66">
        <v>2367.0</v>
      </c>
      <c r="C451" s="66">
        <v>1.0</v>
      </c>
      <c r="D451" s="66">
        <v>0.0</v>
      </c>
      <c r="F451" s="66">
        <v>0.434</v>
      </c>
      <c r="G451" s="66">
        <v>0.235</v>
      </c>
      <c r="H451" s="66">
        <v>0.03</v>
      </c>
      <c r="I451" s="66">
        <v>0.017</v>
      </c>
      <c r="J451" s="66">
        <v>1.17</v>
      </c>
      <c r="K451" s="66">
        <v>0.8925</v>
      </c>
      <c r="L451" s="82">
        <v>44676.0</v>
      </c>
    </row>
    <row r="452">
      <c r="A452" s="66" t="s">
        <v>57</v>
      </c>
      <c r="B452" s="66">
        <v>2377.0</v>
      </c>
      <c r="C452" s="66">
        <v>2.0</v>
      </c>
      <c r="D452" s="66">
        <v>1.0</v>
      </c>
      <c r="F452" s="66">
        <v>0.225</v>
      </c>
      <c r="G452" s="66">
        <v>0.149</v>
      </c>
      <c r="H452" s="66">
        <v>0.13</v>
      </c>
      <c r="I452" s="66">
        <v>0.077</v>
      </c>
      <c r="J452" s="66">
        <v>2.94</v>
      </c>
      <c r="K452" s="66">
        <v>1.42</v>
      </c>
      <c r="L452" s="82">
        <v>44676.0</v>
      </c>
    </row>
    <row r="453">
      <c r="A453" s="66" t="s">
        <v>179</v>
      </c>
      <c r="B453" s="66">
        <v>2365.0</v>
      </c>
      <c r="C453" s="66">
        <v>1.0</v>
      </c>
      <c r="D453" s="66">
        <v>0.0</v>
      </c>
      <c r="F453" s="66">
        <v>0.375</v>
      </c>
      <c r="G453" s="66">
        <v>0.205</v>
      </c>
      <c r="H453" s="66">
        <v>0.034</v>
      </c>
      <c r="I453" s="66">
        <v>0.02</v>
      </c>
      <c r="J453" s="66">
        <v>0.99</v>
      </c>
      <c r="K453" s="66">
        <v>0.755</v>
      </c>
      <c r="L453" s="82">
        <v>44676.0</v>
      </c>
    </row>
    <row r="454">
      <c r="A454" s="66" t="s">
        <v>57</v>
      </c>
      <c r="B454" s="66">
        <v>2331.0</v>
      </c>
      <c r="C454" s="66">
        <v>3.0</v>
      </c>
      <c r="D454" s="66">
        <v>1.0</v>
      </c>
      <c r="F454" s="66">
        <v>1.22</v>
      </c>
      <c r="G454" s="66">
        <v>0.78</v>
      </c>
      <c r="H454" s="66">
        <v>0.239</v>
      </c>
      <c r="I454" s="66">
        <v>0.156</v>
      </c>
      <c r="J454" s="66">
        <v>5.38</v>
      </c>
      <c r="K454" s="66">
        <v>1.89</v>
      </c>
      <c r="L454" s="82">
        <v>44676.0</v>
      </c>
    </row>
    <row r="455">
      <c r="A455" s="66" t="s">
        <v>179</v>
      </c>
      <c r="B455" s="66">
        <v>2360.0</v>
      </c>
      <c r="C455" s="66">
        <v>3.0</v>
      </c>
      <c r="D455" s="66">
        <v>0.0</v>
      </c>
      <c r="F455" s="66">
        <v>0.316</v>
      </c>
      <c r="G455" s="66">
        <v>0.179</v>
      </c>
      <c r="H455" s="66">
        <v>0.025</v>
      </c>
      <c r="I455" s="66">
        <v>0.014</v>
      </c>
      <c r="J455" s="66">
        <v>0.89</v>
      </c>
      <c r="K455" s="66">
        <v>1.0025</v>
      </c>
      <c r="L455" s="82">
        <v>44676.0</v>
      </c>
    </row>
    <row r="456">
      <c r="A456" s="66" t="s">
        <v>179</v>
      </c>
      <c r="B456" s="66">
        <v>2346.0</v>
      </c>
      <c r="C456" s="66">
        <v>2.0</v>
      </c>
      <c r="D456" s="66">
        <v>0.0</v>
      </c>
      <c r="F456" s="66">
        <v>0.229</v>
      </c>
      <c r="G456" s="66">
        <v>0.129</v>
      </c>
      <c r="H456" s="66">
        <v>0.028</v>
      </c>
      <c r="I456" s="66">
        <v>0.016</v>
      </c>
      <c r="J456" s="66">
        <v>1.09</v>
      </c>
      <c r="K456" s="66">
        <v>0.7225</v>
      </c>
      <c r="L456" s="82">
        <v>44676.0</v>
      </c>
    </row>
    <row r="457">
      <c r="A457" s="66" t="s">
        <v>57</v>
      </c>
      <c r="B457" s="66">
        <v>2377.0</v>
      </c>
      <c r="C457" s="66">
        <v>1.0</v>
      </c>
      <c r="D457" s="66">
        <v>0.0</v>
      </c>
      <c r="F457" s="66">
        <v>0.686</v>
      </c>
      <c r="G457" s="66">
        <v>0.385</v>
      </c>
      <c r="H457" s="66">
        <v>0.105</v>
      </c>
      <c r="I457" s="66">
        <v>0.055</v>
      </c>
      <c r="J457" s="66">
        <v>3.83</v>
      </c>
      <c r="K457" s="66">
        <v>1.245</v>
      </c>
      <c r="L457" s="82">
        <v>44676.0</v>
      </c>
    </row>
    <row r="458">
      <c r="A458" s="66" t="s">
        <v>179</v>
      </c>
      <c r="B458" s="66">
        <v>2345.0</v>
      </c>
      <c r="C458" s="66">
        <v>2.0</v>
      </c>
      <c r="D458" s="66">
        <v>0.0</v>
      </c>
      <c r="F458" s="66">
        <v>0.572</v>
      </c>
      <c r="G458" s="66">
        <v>0.311</v>
      </c>
      <c r="H458" s="66">
        <v>0.065</v>
      </c>
      <c r="I458" s="66">
        <v>0.032</v>
      </c>
      <c r="J458" s="66">
        <v>1.25</v>
      </c>
      <c r="K458" s="66">
        <v>1.12</v>
      </c>
      <c r="L458" s="82">
        <v>44676.0</v>
      </c>
    </row>
    <row r="459">
      <c r="A459" s="66" t="s">
        <v>179</v>
      </c>
      <c r="B459" s="66">
        <v>2345.0</v>
      </c>
      <c r="C459" s="66">
        <v>1.0</v>
      </c>
      <c r="D459" s="66">
        <v>0.0</v>
      </c>
      <c r="F459" s="66">
        <v>0.666</v>
      </c>
      <c r="G459" s="66">
        <v>0.358</v>
      </c>
      <c r="H459" s="66">
        <v>0.044</v>
      </c>
      <c r="I459" s="66">
        <v>0.023</v>
      </c>
      <c r="J459" s="66">
        <v>1.19</v>
      </c>
      <c r="K459" s="66">
        <v>1.2325</v>
      </c>
      <c r="L459" s="82">
        <v>44676.0</v>
      </c>
    </row>
    <row r="460">
      <c r="A460" s="66" t="s">
        <v>179</v>
      </c>
      <c r="B460" s="66">
        <v>2379.0</v>
      </c>
      <c r="C460" s="66">
        <v>3.0</v>
      </c>
      <c r="D460" s="66">
        <v>0.0</v>
      </c>
      <c r="F460" s="66">
        <v>0.342</v>
      </c>
      <c r="G460" s="66">
        <v>0.191</v>
      </c>
      <c r="H460" s="66">
        <v>0.025</v>
      </c>
      <c r="I460" s="66">
        <v>0.014</v>
      </c>
      <c r="J460" s="66">
        <v>0.92</v>
      </c>
      <c r="K460" s="66">
        <v>1.14</v>
      </c>
      <c r="L460" s="82">
        <v>44676.0</v>
      </c>
    </row>
    <row r="461">
      <c r="A461" s="66" t="s">
        <v>57</v>
      </c>
      <c r="B461" s="66">
        <v>2331.0</v>
      </c>
      <c r="C461" s="66">
        <v>2.0</v>
      </c>
      <c r="D461" s="66">
        <v>0.0</v>
      </c>
      <c r="F461" s="66">
        <v>0.283</v>
      </c>
      <c r="G461" s="66">
        <v>0.165</v>
      </c>
      <c r="H461" s="66">
        <v>0.073</v>
      </c>
      <c r="I461" s="66">
        <v>0.041</v>
      </c>
      <c r="J461" s="66">
        <v>3.22</v>
      </c>
      <c r="K461" s="66">
        <v>1.0875</v>
      </c>
      <c r="L461" s="82">
        <v>44676.0</v>
      </c>
    </row>
    <row r="462">
      <c r="A462" s="66" t="s">
        <v>57</v>
      </c>
      <c r="B462" s="66">
        <v>2354.0</v>
      </c>
      <c r="C462" s="66">
        <v>1.0</v>
      </c>
      <c r="D462" s="66">
        <v>1.0</v>
      </c>
      <c r="F462" s="66">
        <v>0.346</v>
      </c>
      <c r="G462" s="66">
        <v>0.216</v>
      </c>
      <c r="H462" s="66">
        <v>0.162</v>
      </c>
      <c r="I462" s="66">
        <v>0.092</v>
      </c>
      <c r="J462" s="66">
        <v>4.96</v>
      </c>
      <c r="K462" s="66">
        <v>1.3875</v>
      </c>
      <c r="L462" s="82">
        <v>44676.0</v>
      </c>
    </row>
    <row r="463">
      <c r="A463" s="66" t="s">
        <v>179</v>
      </c>
      <c r="B463" s="66">
        <v>2369.0</v>
      </c>
      <c r="C463" s="66">
        <v>1.0</v>
      </c>
      <c r="D463" s="66">
        <v>0.0</v>
      </c>
      <c r="F463" s="66">
        <v>0.481</v>
      </c>
      <c r="G463" s="66">
        <v>0.266</v>
      </c>
      <c r="H463" s="66">
        <v>0.027</v>
      </c>
      <c r="I463" s="66">
        <v>0.014</v>
      </c>
      <c r="J463" s="66">
        <v>0.9</v>
      </c>
      <c r="K463" s="66">
        <v>0.9925</v>
      </c>
      <c r="L463" s="82">
        <v>44676.0</v>
      </c>
    </row>
    <row r="464">
      <c r="A464" s="66" t="s">
        <v>179</v>
      </c>
      <c r="B464" s="66">
        <v>2360.0</v>
      </c>
      <c r="C464" s="66">
        <v>2.0</v>
      </c>
      <c r="D464" s="66">
        <v>0.0</v>
      </c>
      <c r="F464" s="66">
        <v>0.426</v>
      </c>
      <c r="G464" s="66">
        <v>0.242</v>
      </c>
      <c r="H464" s="66">
        <v>0.021</v>
      </c>
      <c r="I464" s="66">
        <v>0.012</v>
      </c>
      <c r="J464" s="66">
        <v>0.65</v>
      </c>
      <c r="K464" s="66">
        <v>0.9075</v>
      </c>
      <c r="L464" s="82">
        <v>44676.0</v>
      </c>
    </row>
    <row r="465">
      <c r="A465" s="66" t="s">
        <v>179</v>
      </c>
      <c r="B465" s="66">
        <v>2347.0</v>
      </c>
      <c r="C465" s="66">
        <v>1.0</v>
      </c>
      <c r="D465" s="66">
        <v>0.0</v>
      </c>
      <c r="F465" s="66">
        <v>0.817</v>
      </c>
      <c r="G465" s="66">
        <v>0.432</v>
      </c>
      <c r="H465" s="66">
        <v>0.124</v>
      </c>
      <c r="I465" s="66">
        <v>0.064</v>
      </c>
      <c r="J465" s="66">
        <v>1.52</v>
      </c>
      <c r="K465" s="66">
        <v>1.0575</v>
      </c>
      <c r="L465" s="82">
        <v>44676.0</v>
      </c>
    </row>
    <row r="466">
      <c r="A466" s="66" t="s">
        <v>179</v>
      </c>
      <c r="B466" s="66">
        <v>2011.0</v>
      </c>
      <c r="C466" s="66">
        <v>2.0</v>
      </c>
      <c r="D466" s="66">
        <v>0.0</v>
      </c>
      <c r="F466" s="66">
        <v>0.591</v>
      </c>
      <c r="G466" s="66">
        <v>0.324</v>
      </c>
      <c r="H466" s="66">
        <v>0.061</v>
      </c>
      <c r="I466" s="66">
        <v>0.031</v>
      </c>
      <c r="J466" s="66">
        <v>0.98</v>
      </c>
      <c r="K466" s="66">
        <v>1.1525</v>
      </c>
      <c r="L466" s="82">
        <v>44676.0</v>
      </c>
    </row>
    <row r="467">
      <c r="A467" s="66" t="s">
        <v>57</v>
      </c>
      <c r="B467" s="66">
        <v>2354.0</v>
      </c>
      <c r="C467" s="66">
        <v>3.0</v>
      </c>
      <c r="D467" s="66">
        <v>0.0</v>
      </c>
      <c r="F467" s="66">
        <v>0.909</v>
      </c>
      <c r="G467" s="66">
        <v>0.499</v>
      </c>
      <c r="H467" s="66">
        <v>0.078</v>
      </c>
      <c r="I467" s="66">
        <v>0.041</v>
      </c>
      <c r="J467" s="66">
        <v>3.93</v>
      </c>
      <c r="K467" s="66">
        <v>0.95</v>
      </c>
      <c r="L467" s="82">
        <v>44676.0</v>
      </c>
    </row>
    <row r="468">
      <c r="A468" s="66" t="s">
        <v>179</v>
      </c>
      <c r="B468" s="66">
        <v>2371.0</v>
      </c>
      <c r="C468" s="66">
        <v>3.0</v>
      </c>
      <c r="D468" s="66">
        <v>0.0</v>
      </c>
      <c r="F468" s="66">
        <v>0.538</v>
      </c>
      <c r="G468" s="66">
        <v>0.282</v>
      </c>
      <c r="H468" s="66">
        <v>0.091</v>
      </c>
      <c r="I468" s="66">
        <v>0.046</v>
      </c>
      <c r="J468" s="66">
        <v>1.87</v>
      </c>
      <c r="K468" s="66">
        <v>1.0575</v>
      </c>
      <c r="L468" s="82">
        <v>44676.0</v>
      </c>
    </row>
    <row r="469">
      <c r="A469" s="66" t="s">
        <v>179</v>
      </c>
      <c r="B469" s="66">
        <v>2370.0</v>
      </c>
      <c r="C469" s="66">
        <v>2.0</v>
      </c>
      <c r="D469" s="66">
        <v>0.0</v>
      </c>
      <c r="F469" s="66">
        <v>0.372</v>
      </c>
      <c r="G469" s="66">
        <v>0.229</v>
      </c>
      <c r="H469" s="66">
        <v>0.069</v>
      </c>
      <c r="I469" s="66">
        <v>0.036</v>
      </c>
      <c r="J469" s="66">
        <v>1.42</v>
      </c>
      <c r="K469" s="66">
        <v>0.8775</v>
      </c>
      <c r="L469" s="82">
        <v>44676.0</v>
      </c>
    </row>
    <row r="470">
      <c r="A470" s="66" t="s">
        <v>179</v>
      </c>
      <c r="B470" s="66">
        <v>2360.0</v>
      </c>
      <c r="C470" s="66">
        <v>1.0</v>
      </c>
      <c r="D470" s="66">
        <v>0.0</v>
      </c>
      <c r="F470" s="66">
        <v>0.695</v>
      </c>
      <c r="G470" s="66">
        <v>0.393</v>
      </c>
      <c r="H470" s="66">
        <v>0.047</v>
      </c>
      <c r="I470" s="66">
        <v>0.028</v>
      </c>
      <c r="J470" s="66">
        <v>1.51</v>
      </c>
      <c r="K470" s="66">
        <v>0.9775</v>
      </c>
      <c r="L470" s="82">
        <v>44676.0</v>
      </c>
    </row>
    <row r="471">
      <c r="A471" s="66" t="s">
        <v>179</v>
      </c>
      <c r="B471" s="66">
        <v>2383.0</v>
      </c>
      <c r="C471" s="66">
        <v>1.0</v>
      </c>
      <c r="D471" s="66">
        <v>0.0</v>
      </c>
      <c r="F471" s="66">
        <v>0.581</v>
      </c>
      <c r="G471" s="66">
        <v>0.339</v>
      </c>
      <c r="H471" s="66">
        <v>0.147</v>
      </c>
      <c r="I471" s="66">
        <v>0.083</v>
      </c>
      <c r="J471" s="66">
        <v>1.39</v>
      </c>
      <c r="K471" s="66">
        <v>1.28</v>
      </c>
      <c r="L471" s="82">
        <v>44676.0</v>
      </c>
    </row>
    <row r="472">
      <c r="A472" s="66" t="s">
        <v>179</v>
      </c>
      <c r="B472" s="66">
        <v>2370.0</v>
      </c>
      <c r="C472" s="66">
        <v>3.0</v>
      </c>
      <c r="D472" s="66">
        <v>0.0</v>
      </c>
      <c r="F472" s="66">
        <v>0.367</v>
      </c>
      <c r="G472" s="66">
        <v>0.197</v>
      </c>
      <c r="H472" s="66">
        <v>0.049</v>
      </c>
      <c r="I472" s="66">
        <v>0.025</v>
      </c>
      <c r="J472" s="66">
        <v>1.04</v>
      </c>
      <c r="K472" s="66">
        <v>0.83</v>
      </c>
      <c r="L472" s="82">
        <v>44676.0</v>
      </c>
    </row>
    <row r="473">
      <c r="A473" s="66" t="s">
        <v>179</v>
      </c>
      <c r="B473" s="66">
        <v>1478.0</v>
      </c>
      <c r="C473" s="66">
        <v>3.0</v>
      </c>
      <c r="D473" s="66">
        <v>0.0</v>
      </c>
      <c r="F473" s="66">
        <v>0.4498</v>
      </c>
      <c r="G473" s="66">
        <v>0.2219</v>
      </c>
      <c r="H473" s="66">
        <v>0.0455</v>
      </c>
      <c r="I473" s="66">
        <v>0.0202</v>
      </c>
      <c r="J473" s="66">
        <v>1.156</v>
      </c>
      <c r="K473" s="66">
        <v>1.31</v>
      </c>
      <c r="L473" s="82">
        <v>44678.0</v>
      </c>
    </row>
    <row r="474">
      <c r="A474" s="66" t="s">
        <v>179</v>
      </c>
      <c r="B474" s="66">
        <v>2088.0</v>
      </c>
      <c r="C474" s="66">
        <v>2.0</v>
      </c>
      <c r="D474" s="66">
        <v>0.0</v>
      </c>
      <c r="F474" s="66">
        <v>0.7376</v>
      </c>
      <c r="G474" s="66">
        <v>0.3508</v>
      </c>
      <c r="H474" s="66">
        <v>0.2057</v>
      </c>
      <c r="I474" s="66">
        <v>0.0921</v>
      </c>
      <c r="J474" s="66">
        <v>3.702</v>
      </c>
      <c r="K474" s="66">
        <v>1.5375</v>
      </c>
      <c r="L474" s="82">
        <v>44678.0</v>
      </c>
    </row>
    <row r="475">
      <c r="A475" s="66" t="s">
        <v>179</v>
      </c>
      <c r="B475" s="66">
        <v>2028.0</v>
      </c>
      <c r="C475" s="66">
        <v>2.0</v>
      </c>
      <c r="D475" s="66">
        <v>0.0</v>
      </c>
      <c r="F475" s="66">
        <v>0.9904</v>
      </c>
      <c r="G475" s="66">
        <v>0.5285</v>
      </c>
      <c r="H475" s="66">
        <v>0.0917</v>
      </c>
      <c r="I475" s="66">
        <v>0.0497</v>
      </c>
      <c r="J475" s="66">
        <v>1.97</v>
      </c>
      <c r="K475" s="66">
        <v>1.37</v>
      </c>
      <c r="L475" s="82">
        <v>44678.0</v>
      </c>
    </row>
    <row r="476">
      <c r="A476" s="66" t="s">
        <v>179</v>
      </c>
      <c r="B476" s="66">
        <v>2005.0</v>
      </c>
      <c r="C476" s="66">
        <v>1.0</v>
      </c>
      <c r="D476" s="66">
        <v>0.0</v>
      </c>
      <c r="F476" s="66">
        <v>1.224</v>
      </c>
      <c r="G476" s="66">
        <v>0.5742</v>
      </c>
      <c r="H476" s="66">
        <v>0.1462</v>
      </c>
      <c r="I476" s="66">
        <v>0.0706</v>
      </c>
      <c r="J476" s="66">
        <v>2.47</v>
      </c>
      <c r="K476" s="66">
        <v>1.4575</v>
      </c>
      <c r="L476" s="82">
        <v>44678.0</v>
      </c>
    </row>
    <row r="477">
      <c r="A477" s="66" t="s">
        <v>57</v>
      </c>
      <c r="B477" s="66">
        <v>2092.0</v>
      </c>
      <c r="C477" s="66">
        <v>3.0</v>
      </c>
      <c r="D477" s="66">
        <v>0.0</v>
      </c>
      <c r="F477" s="66">
        <v>0.6115</v>
      </c>
      <c r="G477" s="66">
        <v>0.2847</v>
      </c>
      <c r="H477" s="66">
        <v>0.0681</v>
      </c>
      <c r="I477" s="66">
        <v>0.0328</v>
      </c>
      <c r="J477" s="66">
        <v>2.301</v>
      </c>
      <c r="K477" s="66">
        <v>0.64</v>
      </c>
      <c r="L477" s="82">
        <v>44678.0</v>
      </c>
    </row>
    <row r="478">
      <c r="A478" s="66" t="s">
        <v>179</v>
      </c>
      <c r="B478" s="66">
        <v>2007.0</v>
      </c>
      <c r="C478" s="66">
        <v>2.0</v>
      </c>
      <c r="D478" s="66">
        <v>0.0</v>
      </c>
      <c r="F478" s="66">
        <v>0.7689</v>
      </c>
      <c r="G478" s="66">
        <v>0.3954</v>
      </c>
      <c r="H478" s="66">
        <v>0.0567</v>
      </c>
      <c r="I478" s="66">
        <v>0.0297</v>
      </c>
      <c r="J478" s="66">
        <v>1.683</v>
      </c>
      <c r="K478" s="66">
        <v>1.08</v>
      </c>
      <c r="L478" s="82">
        <v>44678.0</v>
      </c>
    </row>
    <row r="479">
      <c r="A479" s="66" t="s">
        <v>179</v>
      </c>
      <c r="B479" s="66">
        <v>2086.0</v>
      </c>
      <c r="C479" s="66">
        <v>2.0</v>
      </c>
      <c r="D479" s="66">
        <v>0.0</v>
      </c>
      <c r="F479" s="66">
        <v>1.4337</v>
      </c>
      <c r="G479" s="66">
        <v>0.6885</v>
      </c>
      <c r="H479" s="66">
        <v>0.2407</v>
      </c>
      <c r="I479" s="66">
        <v>0.1154</v>
      </c>
      <c r="J479" s="66">
        <v>2.92</v>
      </c>
      <c r="K479" s="66">
        <v>1.6075</v>
      </c>
      <c r="L479" s="82">
        <v>44678.0</v>
      </c>
    </row>
    <row r="480">
      <c r="A480" s="66" t="s">
        <v>57</v>
      </c>
      <c r="B480" s="66">
        <v>2089.0</v>
      </c>
      <c r="C480" s="66">
        <v>2.0</v>
      </c>
      <c r="D480" s="66">
        <v>1.0</v>
      </c>
      <c r="F480" s="66">
        <v>1.1044</v>
      </c>
      <c r="G480" s="66">
        <v>0.6236</v>
      </c>
      <c r="H480" s="66">
        <v>0.1853</v>
      </c>
      <c r="I480" s="66">
        <v>0.0893</v>
      </c>
      <c r="J480" s="66">
        <v>4.055</v>
      </c>
      <c r="K480" s="66">
        <v>1.765</v>
      </c>
      <c r="L480" s="82">
        <v>44678.0</v>
      </c>
    </row>
    <row r="481">
      <c r="A481" s="66" t="s">
        <v>57</v>
      </c>
      <c r="B481" s="66">
        <v>2089.0</v>
      </c>
      <c r="C481" s="66">
        <v>1.0</v>
      </c>
      <c r="D481" s="66">
        <v>0.0</v>
      </c>
      <c r="F481" s="66">
        <v>2.0214</v>
      </c>
      <c r="G481" s="66">
        <v>0.5103</v>
      </c>
      <c r="H481" s="66">
        <v>0.2059</v>
      </c>
      <c r="I481" s="66">
        <v>0.0638</v>
      </c>
      <c r="J481" s="66">
        <v>5.705</v>
      </c>
      <c r="K481" s="66">
        <v>1.1875</v>
      </c>
      <c r="L481" s="82">
        <v>44678.0</v>
      </c>
    </row>
    <row r="482">
      <c r="A482" s="66" t="s">
        <v>179</v>
      </c>
      <c r="B482" s="66">
        <v>2026.0</v>
      </c>
      <c r="C482" s="66">
        <v>2.0</v>
      </c>
      <c r="D482" s="66">
        <v>0.0</v>
      </c>
      <c r="F482" s="66">
        <v>0.8779</v>
      </c>
      <c r="G482" s="66">
        <v>0.4643</v>
      </c>
      <c r="H482" s="66">
        <v>0.1632</v>
      </c>
      <c r="I482" s="66">
        <v>0.0868</v>
      </c>
      <c r="J482" s="66">
        <v>3.66</v>
      </c>
      <c r="K482" s="66">
        <v>1.4375</v>
      </c>
      <c r="L482" s="82">
        <v>44678.0</v>
      </c>
    </row>
    <row r="483">
      <c r="A483" s="66" t="s">
        <v>179</v>
      </c>
      <c r="B483" s="66">
        <v>2005.0</v>
      </c>
      <c r="C483" s="66">
        <v>2.0</v>
      </c>
      <c r="D483" s="66">
        <v>0.0</v>
      </c>
      <c r="F483" s="66">
        <v>1.1186</v>
      </c>
      <c r="G483" s="66">
        <v>0.519</v>
      </c>
      <c r="H483" s="66">
        <v>0.1401</v>
      </c>
      <c r="I483" s="66">
        <v>0.0646</v>
      </c>
      <c r="J483" s="66">
        <v>1.716</v>
      </c>
      <c r="K483" s="66">
        <v>1.27</v>
      </c>
      <c r="L483" s="82">
        <v>44678.0</v>
      </c>
    </row>
    <row r="484">
      <c r="A484" s="66" t="s">
        <v>57</v>
      </c>
      <c r="B484" s="66">
        <v>2030.0</v>
      </c>
      <c r="C484" s="66">
        <v>2.0</v>
      </c>
      <c r="D484" s="66">
        <v>1.0</v>
      </c>
      <c r="F484" s="66">
        <v>0.9081</v>
      </c>
      <c r="G484" s="66">
        <v>0.5248</v>
      </c>
      <c r="H484" s="66">
        <v>0.1651</v>
      </c>
      <c r="I484" s="66">
        <v>0.0981</v>
      </c>
      <c r="J484" s="66">
        <v>2.546</v>
      </c>
      <c r="K484" s="66">
        <v>1.6625</v>
      </c>
      <c r="L484" s="82">
        <v>44678.0</v>
      </c>
    </row>
    <row r="485">
      <c r="A485" s="66" t="s">
        <v>179</v>
      </c>
      <c r="B485" s="66">
        <v>2012.0</v>
      </c>
      <c r="C485" s="66">
        <v>3.0</v>
      </c>
      <c r="D485" s="66">
        <v>0.0</v>
      </c>
      <c r="F485" s="66">
        <v>0.3999</v>
      </c>
      <c r="G485" s="66">
        <v>0.1996</v>
      </c>
      <c r="H485" s="66">
        <v>0.0233</v>
      </c>
      <c r="I485" s="66">
        <v>0.0114</v>
      </c>
      <c r="J485" s="66">
        <v>0.792</v>
      </c>
      <c r="K485" s="66">
        <v>0.755</v>
      </c>
      <c r="L485" s="82">
        <v>44678.0</v>
      </c>
    </row>
    <row r="486">
      <c r="A486" s="66" t="s">
        <v>179</v>
      </c>
      <c r="B486" s="66">
        <v>2031.0</v>
      </c>
      <c r="C486" s="66">
        <v>2.0</v>
      </c>
      <c r="D486" s="66">
        <v>0.0</v>
      </c>
      <c r="F486" s="66">
        <v>0.905</v>
      </c>
      <c r="G486" s="66">
        <v>0.4649</v>
      </c>
      <c r="H486" s="66">
        <v>0.0862</v>
      </c>
      <c r="I486" s="66">
        <v>0.0468</v>
      </c>
      <c r="J486" s="66">
        <v>1.764</v>
      </c>
      <c r="K486" s="66">
        <v>1.37</v>
      </c>
      <c r="L486" s="82">
        <v>44678.0</v>
      </c>
    </row>
    <row r="487">
      <c r="A487" s="66" t="s">
        <v>179</v>
      </c>
      <c r="B487" s="66">
        <v>2024.0</v>
      </c>
      <c r="C487" s="66">
        <v>3.0</v>
      </c>
      <c r="D487" s="66">
        <v>0.0</v>
      </c>
      <c r="F487" s="66">
        <v>1.0194</v>
      </c>
      <c r="G487" s="66">
        <v>0.5278</v>
      </c>
      <c r="H487" s="66">
        <v>0.1805</v>
      </c>
      <c r="I487" s="66">
        <v>0.0925</v>
      </c>
      <c r="J487" s="66">
        <v>2.529</v>
      </c>
      <c r="K487" s="66">
        <v>1.805</v>
      </c>
      <c r="L487" s="82">
        <v>44678.0</v>
      </c>
    </row>
    <row r="488">
      <c r="A488" s="66" t="s">
        <v>57</v>
      </c>
      <c r="B488" s="66">
        <v>2029.0</v>
      </c>
      <c r="C488" s="66">
        <v>2.0</v>
      </c>
      <c r="D488" s="66">
        <v>0.0</v>
      </c>
      <c r="F488" s="66">
        <v>1.7892</v>
      </c>
      <c r="G488" s="66">
        <v>1.0125</v>
      </c>
      <c r="H488" s="66">
        <v>0.0369</v>
      </c>
      <c r="I488" s="66">
        <v>0.0207</v>
      </c>
      <c r="J488" s="66">
        <v>1.578</v>
      </c>
      <c r="K488" s="66">
        <v>1.0825</v>
      </c>
      <c r="L488" s="82">
        <v>44678.0</v>
      </c>
    </row>
    <row r="489">
      <c r="A489" s="66" t="s">
        <v>179</v>
      </c>
      <c r="B489" s="66">
        <v>2025.0</v>
      </c>
      <c r="C489" s="66">
        <v>1.0</v>
      </c>
      <c r="D489" s="66">
        <v>0.0</v>
      </c>
      <c r="F489" s="66">
        <v>0.772</v>
      </c>
      <c r="G489" s="66">
        <v>0.3915</v>
      </c>
      <c r="H489" s="66">
        <v>0.0734</v>
      </c>
      <c r="I489" s="66">
        <v>0.0393</v>
      </c>
      <c r="J489" s="66">
        <v>1.85</v>
      </c>
      <c r="K489" s="66">
        <v>1.27</v>
      </c>
      <c r="L489" s="82">
        <v>44678.0</v>
      </c>
    </row>
    <row r="490">
      <c r="A490" s="66" t="s">
        <v>179</v>
      </c>
      <c r="B490" s="66">
        <v>2021.0</v>
      </c>
      <c r="C490" s="66">
        <v>1.0</v>
      </c>
      <c r="D490" s="66">
        <v>0.0</v>
      </c>
      <c r="F490" s="66">
        <v>0.6961</v>
      </c>
      <c r="G490" s="66">
        <v>0.3575</v>
      </c>
      <c r="H490" s="66">
        <v>0.08</v>
      </c>
      <c r="I490" s="66">
        <v>0.041</v>
      </c>
      <c r="J490" s="66">
        <v>1.48</v>
      </c>
      <c r="K490" s="66">
        <v>1.0175</v>
      </c>
      <c r="L490" s="82">
        <v>44678.0</v>
      </c>
    </row>
    <row r="491">
      <c r="A491" s="66" t="s">
        <v>179</v>
      </c>
      <c r="B491" s="66">
        <v>2004.0</v>
      </c>
      <c r="C491" s="66">
        <v>1.0</v>
      </c>
      <c r="D491" s="66">
        <v>0.0</v>
      </c>
      <c r="F491" s="66">
        <v>0.9937</v>
      </c>
      <c r="G491" s="66">
        <v>0.5222</v>
      </c>
      <c r="H491" s="66">
        <v>0.154</v>
      </c>
      <c r="I491" s="66">
        <v>0.0755</v>
      </c>
      <c r="J491" s="66">
        <v>2.858</v>
      </c>
      <c r="K491" s="66">
        <v>1.4525</v>
      </c>
      <c r="L491" s="82">
        <v>44678.0</v>
      </c>
    </row>
    <row r="492">
      <c r="A492" s="66" t="s">
        <v>57</v>
      </c>
      <c r="B492" s="66">
        <v>2089.0</v>
      </c>
      <c r="C492" s="66">
        <v>1.0</v>
      </c>
      <c r="D492" s="66">
        <v>1.0</v>
      </c>
      <c r="F492" s="66">
        <v>0.985</v>
      </c>
      <c r="G492" s="66">
        <v>0.561</v>
      </c>
      <c r="H492" s="66">
        <v>0.2553</v>
      </c>
      <c r="I492" s="66">
        <v>0.1181</v>
      </c>
      <c r="J492" s="66">
        <v>5.967</v>
      </c>
      <c r="K492" s="66">
        <v>1.3675</v>
      </c>
      <c r="L492" s="82">
        <v>44678.0</v>
      </c>
    </row>
    <row r="493">
      <c r="A493" s="66" t="s">
        <v>57</v>
      </c>
      <c r="B493" s="66">
        <v>2029.0</v>
      </c>
      <c r="C493" s="66">
        <v>1.0</v>
      </c>
      <c r="D493" s="66">
        <v>1.0</v>
      </c>
      <c r="F493" s="66">
        <v>0.6694</v>
      </c>
      <c r="G493" s="66">
        <v>0.4089</v>
      </c>
      <c r="H493" s="66">
        <v>0.1449</v>
      </c>
      <c r="I493" s="66">
        <v>0.0855</v>
      </c>
      <c r="J493" s="66">
        <v>4.565</v>
      </c>
      <c r="K493" s="66">
        <v>1.4675</v>
      </c>
      <c r="L493" s="82">
        <v>44678.0</v>
      </c>
    </row>
    <row r="494">
      <c r="A494" s="66" t="s">
        <v>57</v>
      </c>
      <c r="B494" s="66">
        <v>2023.0</v>
      </c>
      <c r="C494" s="66">
        <v>2.0</v>
      </c>
      <c r="D494" s="66">
        <v>1.0</v>
      </c>
      <c r="F494" s="66">
        <v>0.628</v>
      </c>
      <c r="G494" s="66">
        <v>0.3782</v>
      </c>
      <c r="H494" s="66">
        <v>0.1836</v>
      </c>
      <c r="I494" s="66">
        <v>0.1093</v>
      </c>
      <c r="J494" s="66">
        <v>3.337</v>
      </c>
      <c r="K494" s="66">
        <v>2.24</v>
      </c>
      <c r="L494" s="82">
        <v>44678.0</v>
      </c>
    </row>
    <row r="495">
      <c r="A495" s="66" t="s">
        <v>179</v>
      </c>
      <c r="B495" s="66">
        <v>2090.0</v>
      </c>
      <c r="C495" s="66">
        <v>1.0</v>
      </c>
      <c r="D495" s="66">
        <v>0.0</v>
      </c>
      <c r="F495" s="66">
        <v>0.7389</v>
      </c>
      <c r="G495" s="66">
        <v>0.353</v>
      </c>
      <c r="H495" s="66">
        <v>0.0494</v>
      </c>
      <c r="I495" s="66">
        <v>0.0234</v>
      </c>
      <c r="J495" s="66">
        <v>1.04</v>
      </c>
      <c r="K495" s="66">
        <v>1.33</v>
      </c>
      <c r="L495" s="82">
        <v>44678.0</v>
      </c>
    </row>
    <row r="496">
      <c r="A496" s="66" t="s">
        <v>179</v>
      </c>
      <c r="B496" s="66">
        <v>2031.0</v>
      </c>
      <c r="C496" s="66">
        <v>1.0</v>
      </c>
      <c r="D496" s="66">
        <v>0.0</v>
      </c>
      <c r="F496" s="66">
        <v>0.7037</v>
      </c>
      <c r="G496" s="66">
        <v>0.3652</v>
      </c>
      <c r="H496" s="66">
        <v>0.0709</v>
      </c>
      <c r="I496" s="66">
        <v>0.0382</v>
      </c>
      <c r="J496" s="66">
        <v>1.664</v>
      </c>
      <c r="K496" s="66">
        <v>1.3325</v>
      </c>
      <c r="L496" s="82">
        <v>44678.0</v>
      </c>
    </row>
    <row r="497">
      <c r="A497" s="66" t="s">
        <v>179</v>
      </c>
      <c r="B497" s="66">
        <v>1478.0</v>
      </c>
      <c r="C497" s="66">
        <v>1.0</v>
      </c>
      <c r="D497" s="66">
        <v>0.0</v>
      </c>
      <c r="F497" s="66">
        <v>0.9488</v>
      </c>
      <c r="G497" s="66">
        <v>0.4619</v>
      </c>
      <c r="H497" s="66">
        <v>0.2391</v>
      </c>
      <c r="I497" s="66">
        <v>0.1056</v>
      </c>
      <c r="J497" s="66">
        <v>4.077</v>
      </c>
      <c r="K497" s="66">
        <v>1.7675</v>
      </c>
      <c r="L497" s="82">
        <v>44678.0</v>
      </c>
    </row>
    <row r="498">
      <c r="A498" s="66" t="s">
        <v>57</v>
      </c>
      <c r="B498" s="66">
        <v>2030.0</v>
      </c>
      <c r="C498" s="66">
        <v>1.0</v>
      </c>
      <c r="D498" s="66">
        <v>0.0</v>
      </c>
      <c r="F498" s="66">
        <v>0.9927</v>
      </c>
      <c r="G498" s="66">
        <v>0.5338</v>
      </c>
      <c r="H498" s="66">
        <v>0.0349</v>
      </c>
      <c r="I498" s="66">
        <v>0.019</v>
      </c>
      <c r="J498" s="66">
        <v>0.921</v>
      </c>
      <c r="K498" s="66">
        <v>1.225</v>
      </c>
      <c r="L498" s="82">
        <v>44678.0</v>
      </c>
    </row>
    <row r="499">
      <c r="A499" s="66" t="s">
        <v>179</v>
      </c>
      <c r="B499" s="66">
        <v>2015.0</v>
      </c>
      <c r="C499" s="66">
        <v>1.0</v>
      </c>
      <c r="D499" s="66">
        <v>0.0</v>
      </c>
      <c r="F499" s="66">
        <v>0.6276</v>
      </c>
      <c r="G499" s="66">
        <v>0.3127</v>
      </c>
      <c r="H499" s="66">
        <v>0.0688</v>
      </c>
      <c r="I499" s="66">
        <v>0.0337</v>
      </c>
      <c r="J499" s="66">
        <v>2.029</v>
      </c>
      <c r="K499" s="66">
        <v>1.03</v>
      </c>
      <c r="L499" s="82">
        <v>44678.0</v>
      </c>
    </row>
    <row r="500">
      <c r="A500" s="66" t="s">
        <v>57</v>
      </c>
      <c r="B500" s="66">
        <v>2023.0</v>
      </c>
      <c r="C500" s="66">
        <v>1.0</v>
      </c>
      <c r="D500" s="66">
        <v>1.0</v>
      </c>
      <c r="F500" s="66">
        <v>1.589</v>
      </c>
      <c r="G500" s="66">
        <v>0.9501</v>
      </c>
      <c r="H500" s="66">
        <v>0.2286</v>
      </c>
      <c r="I500" s="66">
        <v>0.1345</v>
      </c>
      <c r="J500" s="66">
        <v>3.402</v>
      </c>
      <c r="K500" s="66">
        <v>1.9625</v>
      </c>
      <c r="L500" s="82">
        <v>44678.0</v>
      </c>
    </row>
    <row r="501">
      <c r="A501" s="66" t="s">
        <v>57</v>
      </c>
      <c r="B501" s="66">
        <v>2092.0</v>
      </c>
      <c r="C501" s="66">
        <v>1.0</v>
      </c>
      <c r="D501" s="66">
        <v>0.0</v>
      </c>
      <c r="F501" s="66">
        <v>0.2313</v>
      </c>
      <c r="G501" s="66">
        <v>0.1077</v>
      </c>
      <c r="H501" s="66">
        <v>0.0258</v>
      </c>
      <c r="I501" s="66">
        <v>0.012</v>
      </c>
      <c r="J501" s="66">
        <v>1.484</v>
      </c>
      <c r="K501" s="66">
        <v>0.765</v>
      </c>
      <c r="L501" s="82">
        <v>44678.0</v>
      </c>
    </row>
    <row r="502">
      <c r="A502" s="66" t="s">
        <v>179</v>
      </c>
      <c r="B502" s="66">
        <v>2015.0</v>
      </c>
      <c r="C502" s="66">
        <v>2.0</v>
      </c>
      <c r="D502" s="66">
        <v>0.0</v>
      </c>
      <c r="F502" s="66">
        <v>0.4924</v>
      </c>
      <c r="G502" s="66">
        <v>0.2476</v>
      </c>
      <c r="H502" s="66">
        <v>0.0779</v>
      </c>
      <c r="I502" s="66">
        <v>0.0399</v>
      </c>
      <c r="J502" s="66">
        <v>1.415</v>
      </c>
      <c r="K502" s="66">
        <v>1.0775</v>
      </c>
      <c r="L502" s="82">
        <v>44678.0</v>
      </c>
    </row>
    <row r="503">
      <c r="A503" s="66" t="s">
        <v>179</v>
      </c>
      <c r="B503" s="66">
        <v>2354.0</v>
      </c>
      <c r="C503" s="66">
        <v>2.0</v>
      </c>
      <c r="D503" s="66">
        <v>0.0</v>
      </c>
      <c r="F503" s="66">
        <v>1.2982</v>
      </c>
      <c r="G503" s="66">
        <v>0.6214</v>
      </c>
      <c r="H503" s="66">
        <v>0.3068</v>
      </c>
      <c r="I503" s="66">
        <v>0.1356</v>
      </c>
      <c r="J503" s="66">
        <v>6.785</v>
      </c>
      <c r="K503" s="66">
        <v>1.3375</v>
      </c>
      <c r="L503" s="82">
        <v>44678.0</v>
      </c>
    </row>
    <row r="504">
      <c r="A504" s="66" t="s">
        <v>179</v>
      </c>
      <c r="B504" s="66">
        <v>2028.0</v>
      </c>
      <c r="C504" s="66">
        <v>3.0</v>
      </c>
      <c r="D504" s="66">
        <v>0.0</v>
      </c>
      <c r="F504" s="66">
        <v>1.4923</v>
      </c>
      <c r="G504" s="66">
        <v>0.7755</v>
      </c>
      <c r="H504" s="66">
        <v>0.1133</v>
      </c>
      <c r="I504" s="66">
        <v>0.0583</v>
      </c>
      <c r="J504" s="66">
        <v>1.819</v>
      </c>
      <c r="K504" s="66">
        <v>1.76</v>
      </c>
      <c r="L504" s="82">
        <v>44678.0</v>
      </c>
    </row>
    <row r="505">
      <c r="A505" s="66" t="s">
        <v>179</v>
      </c>
      <c r="B505" s="66">
        <v>2087.0</v>
      </c>
      <c r="C505" s="66">
        <v>2.0</v>
      </c>
      <c r="D505" s="66">
        <v>0.0</v>
      </c>
      <c r="F505" s="66">
        <v>1.0339</v>
      </c>
      <c r="G505" s="66">
        <v>0.4823</v>
      </c>
      <c r="H505" s="66">
        <v>0.2891</v>
      </c>
      <c r="I505" s="66">
        <v>0.1298</v>
      </c>
      <c r="J505" s="66">
        <v>2.369</v>
      </c>
      <c r="K505" s="66">
        <v>1.3975</v>
      </c>
      <c r="L505" s="82">
        <v>44678.0</v>
      </c>
    </row>
    <row r="506">
      <c r="A506" s="66" t="s">
        <v>179</v>
      </c>
      <c r="B506" s="66">
        <v>2086.0</v>
      </c>
      <c r="C506" s="66">
        <v>3.0</v>
      </c>
      <c r="D506" s="66">
        <v>0.0</v>
      </c>
      <c r="F506" s="66">
        <v>2.196</v>
      </c>
      <c r="G506" s="66">
        <v>1.0495</v>
      </c>
      <c r="H506" s="66">
        <v>0.3906</v>
      </c>
      <c r="I506" s="66">
        <v>0.1825</v>
      </c>
      <c r="J506" s="66">
        <v>4.39</v>
      </c>
      <c r="K506" s="66">
        <v>1.875</v>
      </c>
      <c r="L506" s="82">
        <v>44678.0</v>
      </c>
    </row>
    <row r="507">
      <c r="A507" s="66" t="s">
        <v>179</v>
      </c>
      <c r="B507" s="66">
        <v>2012.0</v>
      </c>
      <c r="C507" s="66">
        <v>1.0</v>
      </c>
      <c r="D507" s="66">
        <v>0.0</v>
      </c>
      <c r="F507" s="66">
        <v>0.4637</v>
      </c>
      <c r="G507" s="66">
        <v>0.2805</v>
      </c>
      <c r="H507" s="66">
        <v>0.1006</v>
      </c>
      <c r="I507" s="66">
        <v>0.0483</v>
      </c>
      <c r="J507" s="66">
        <v>3.147</v>
      </c>
      <c r="K507" s="66">
        <v>1.0525</v>
      </c>
      <c r="L507" s="82">
        <v>44678.0</v>
      </c>
    </row>
    <row r="508">
      <c r="A508" s="66" t="s">
        <v>57</v>
      </c>
      <c r="B508" s="66">
        <v>2029.0</v>
      </c>
      <c r="C508" s="66">
        <v>1.0</v>
      </c>
      <c r="D508" s="66">
        <v>0.0</v>
      </c>
      <c r="F508" s="66">
        <v>1.875</v>
      </c>
      <c r="G508" s="66">
        <v>1.0251</v>
      </c>
      <c r="H508" s="66">
        <v>0.0915</v>
      </c>
      <c r="I508" s="66">
        <v>0.0485</v>
      </c>
      <c r="J508" s="66">
        <v>3.054</v>
      </c>
      <c r="K508" s="66">
        <v>1.15</v>
      </c>
      <c r="L508" s="82">
        <v>44678.0</v>
      </c>
    </row>
    <row r="509">
      <c r="A509" s="66" t="s">
        <v>179</v>
      </c>
      <c r="B509" s="66">
        <v>2085.0</v>
      </c>
      <c r="C509" s="66">
        <v>1.0</v>
      </c>
      <c r="D509" s="66">
        <v>0.0</v>
      </c>
      <c r="F509" s="66">
        <v>0.8097</v>
      </c>
      <c r="G509" s="66">
        <v>0.3863</v>
      </c>
      <c r="H509" s="66">
        <v>0.1962</v>
      </c>
      <c r="I509" s="66">
        <v>0.0922</v>
      </c>
      <c r="J509" s="66">
        <v>2.458</v>
      </c>
      <c r="K509" s="66">
        <v>1.2675</v>
      </c>
      <c r="L509" s="82">
        <v>44678.0</v>
      </c>
    </row>
    <row r="510">
      <c r="A510" s="66" t="s">
        <v>57</v>
      </c>
      <c r="B510" s="66">
        <v>2089.0</v>
      </c>
      <c r="C510" s="66">
        <v>2.0</v>
      </c>
      <c r="D510" s="66">
        <v>0.0</v>
      </c>
      <c r="F510" s="66">
        <v>0.3603</v>
      </c>
      <c r="G510" s="66">
        <v>0.0829</v>
      </c>
      <c r="H510" s="66">
        <v>0.0592</v>
      </c>
      <c r="I510" s="66">
        <v>0.0171</v>
      </c>
      <c r="J510" s="66">
        <v>2.953</v>
      </c>
      <c r="K510" s="66">
        <v>0.785</v>
      </c>
      <c r="L510" s="82">
        <v>44678.0</v>
      </c>
    </row>
    <row r="511">
      <c r="A511" s="66" t="s">
        <v>179</v>
      </c>
      <c r="B511" s="66">
        <v>2021.0</v>
      </c>
      <c r="C511" s="66">
        <v>3.0</v>
      </c>
      <c r="D511" s="66">
        <v>0.0</v>
      </c>
      <c r="F511" s="66">
        <v>0.5699</v>
      </c>
      <c r="G511" s="66">
        <v>0.2868</v>
      </c>
      <c r="H511" s="66">
        <v>0.038</v>
      </c>
      <c r="I511" s="66">
        <v>0.0197</v>
      </c>
      <c r="J511" s="66">
        <v>0.926</v>
      </c>
      <c r="K511" s="66">
        <v>0.9425</v>
      </c>
      <c r="L511" s="82">
        <v>44678.0</v>
      </c>
    </row>
    <row r="512">
      <c r="A512" s="66" t="s">
        <v>57</v>
      </c>
      <c r="B512" s="66">
        <v>2091.0</v>
      </c>
      <c r="C512" s="66">
        <v>2.0</v>
      </c>
      <c r="D512" s="66">
        <v>0.0</v>
      </c>
      <c r="F512" s="66">
        <v>1.3865</v>
      </c>
      <c r="G512" s="66">
        <v>0.5515</v>
      </c>
      <c r="H512" s="66">
        <v>0.1318</v>
      </c>
      <c r="I512" s="66">
        <v>0.0554</v>
      </c>
      <c r="J512" s="66">
        <v>3.805</v>
      </c>
      <c r="K512" s="66">
        <v>1.2475</v>
      </c>
      <c r="L512" s="82">
        <v>44678.0</v>
      </c>
    </row>
    <row r="513">
      <c r="A513" s="66" t="s">
        <v>179</v>
      </c>
      <c r="B513" s="66">
        <v>2026.0</v>
      </c>
      <c r="C513" s="66">
        <v>3.0</v>
      </c>
      <c r="D513" s="66">
        <v>0.0</v>
      </c>
      <c r="F513" s="66">
        <v>0.5817</v>
      </c>
      <c r="G513" s="66">
        <v>0.2972</v>
      </c>
      <c r="H513" s="66">
        <v>0.1167</v>
      </c>
      <c r="I513" s="66">
        <v>0.0599</v>
      </c>
      <c r="J513" s="66">
        <v>1.848</v>
      </c>
      <c r="K513" s="66">
        <v>1.09</v>
      </c>
      <c r="L513" s="82">
        <v>44678.0</v>
      </c>
    </row>
    <row r="514">
      <c r="A514" s="66" t="s">
        <v>179</v>
      </c>
      <c r="B514" s="66">
        <v>2020.0</v>
      </c>
      <c r="C514" s="66">
        <v>1.0</v>
      </c>
      <c r="D514" s="66">
        <v>0.0</v>
      </c>
      <c r="F514" s="66">
        <v>1.0932</v>
      </c>
      <c r="G514" s="66">
        <v>0.5591</v>
      </c>
      <c r="H514" s="66">
        <v>0.1108</v>
      </c>
      <c r="I514" s="66">
        <v>0.0568</v>
      </c>
      <c r="J514" s="66">
        <v>2.628</v>
      </c>
      <c r="K514" s="66">
        <v>1.2675</v>
      </c>
      <c r="L514" s="82">
        <v>44678.0</v>
      </c>
    </row>
    <row r="515">
      <c r="A515" s="66" t="s">
        <v>57</v>
      </c>
      <c r="B515" s="66">
        <v>2091.0</v>
      </c>
      <c r="C515" s="66">
        <v>1.0</v>
      </c>
      <c r="D515" s="66">
        <v>0.0</v>
      </c>
      <c r="F515" s="66">
        <v>1.3417</v>
      </c>
      <c r="G515" s="66">
        <v>0.5788</v>
      </c>
      <c r="H515" s="66">
        <v>0.084</v>
      </c>
      <c r="I515" s="66">
        <v>0.0346</v>
      </c>
      <c r="J515" s="66">
        <v>2.42</v>
      </c>
      <c r="K515" s="66">
        <v>1.0875</v>
      </c>
      <c r="L515" s="82">
        <v>44678.0</v>
      </c>
    </row>
    <row r="516">
      <c r="A516" s="66" t="s">
        <v>57</v>
      </c>
      <c r="B516" s="66">
        <v>2023.0</v>
      </c>
      <c r="C516" s="66">
        <v>3.0</v>
      </c>
      <c r="D516" s="66">
        <v>1.0</v>
      </c>
      <c r="F516" s="66">
        <v>0.8075</v>
      </c>
      <c r="G516" s="66">
        <v>0.5001</v>
      </c>
      <c r="H516" s="66">
        <v>0.159</v>
      </c>
      <c r="I516" s="66">
        <v>0.0966</v>
      </c>
      <c r="J516" s="66">
        <v>4.056</v>
      </c>
      <c r="K516" s="66">
        <v>1.4</v>
      </c>
      <c r="L516" s="82">
        <v>44678.0</v>
      </c>
    </row>
    <row r="517">
      <c r="A517" s="66" t="s">
        <v>57</v>
      </c>
      <c r="B517" s="66">
        <v>2022.0</v>
      </c>
      <c r="C517" s="66">
        <v>2.0</v>
      </c>
      <c r="D517" s="66">
        <v>2.0</v>
      </c>
      <c r="F517" s="66">
        <v>0.4566</v>
      </c>
      <c r="G517" s="66">
        <v>0.2982</v>
      </c>
      <c r="H517" s="66">
        <v>0.196</v>
      </c>
      <c r="I517" s="66">
        <v>0.122</v>
      </c>
      <c r="J517" s="66">
        <v>3.879</v>
      </c>
      <c r="K517" s="66">
        <v>1.3075</v>
      </c>
      <c r="L517" s="82">
        <v>44678.0</v>
      </c>
    </row>
    <row r="518">
      <c r="A518" s="66" t="s">
        <v>57</v>
      </c>
      <c r="B518" s="66">
        <v>2030.0</v>
      </c>
      <c r="C518" s="66">
        <v>3.0</v>
      </c>
      <c r="D518" s="66">
        <v>1.0</v>
      </c>
      <c r="F518" s="66">
        <v>0.8606</v>
      </c>
      <c r="G518" s="66">
        <v>0.535</v>
      </c>
      <c r="H518" s="66">
        <v>0.2396</v>
      </c>
      <c r="I518" s="66">
        <v>0.1169</v>
      </c>
      <c r="J518" s="66">
        <v>3.829</v>
      </c>
      <c r="K518" s="66">
        <v>1.6775</v>
      </c>
      <c r="L518" s="82">
        <v>44678.0</v>
      </c>
    </row>
    <row r="519">
      <c r="A519" s="66" t="s">
        <v>57</v>
      </c>
      <c r="B519" s="66">
        <v>2023.0</v>
      </c>
      <c r="C519" s="66">
        <v>1.0</v>
      </c>
      <c r="D519" s="66">
        <v>0.0</v>
      </c>
      <c r="F519" s="66">
        <v>2.6297</v>
      </c>
      <c r="G519" s="66">
        <v>1.46</v>
      </c>
      <c r="H519" s="66">
        <v>0.2647</v>
      </c>
      <c r="I519" s="66">
        <v>0.1454</v>
      </c>
      <c r="J519" s="66">
        <v>5.35</v>
      </c>
      <c r="K519" s="66">
        <v>1.8</v>
      </c>
      <c r="L519" s="82">
        <v>44678.0</v>
      </c>
    </row>
    <row r="520">
      <c r="A520" s="66" t="s">
        <v>179</v>
      </c>
      <c r="B520" s="66">
        <v>2027.0</v>
      </c>
      <c r="C520" s="66">
        <v>3.0</v>
      </c>
      <c r="D520" s="66">
        <v>0.0</v>
      </c>
      <c r="F520" s="66">
        <v>0.2495</v>
      </c>
      <c r="G520" s="66">
        <v>0.1333</v>
      </c>
      <c r="H520" s="66">
        <v>0.0139</v>
      </c>
      <c r="I520" s="66">
        <v>0.0075</v>
      </c>
      <c r="J520" s="66">
        <v>0.583</v>
      </c>
      <c r="K520" s="66">
        <v>0.7075</v>
      </c>
      <c r="L520" s="82">
        <v>44678.0</v>
      </c>
    </row>
    <row r="521">
      <c r="A521" s="66" t="s">
        <v>57</v>
      </c>
      <c r="B521" s="66">
        <v>2091.0</v>
      </c>
      <c r="C521" s="66">
        <v>1.0</v>
      </c>
      <c r="D521" s="66">
        <v>1.0</v>
      </c>
      <c r="F521" s="66">
        <v>0.3048</v>
      </c>
      <c r="G521" s="66">
        <v>0.1806</v>
      </c>
      <c r="H521" s="66">
        <v>0.1148</v>
      </c>
      <c r="I521" s="66">
        <v>0.0614</v>
      </c>
      <c r="J521" s="66">
        <v>2.372</v>
      </c>
      <c r="K521" s="66">
        <v>1.5375</v>
      </c>
      <c r="L521" s="82">
        <v>44678.0</v>
      </c>
    </row>
    <row r="522">
      <c r="A522" s="66" t="s">
        <v>179</v>
      </c>
      <c r="B522" s="66">
        <v>2005.0</v>
      </c>
      <c r="C522" s="66">
        <v>3.0</v>
      </c>
      <c r="D522" s="66">
        <v>0.0</v>
      </c>
      <c r="F522" s="66">
        <v>1.8027</v>
      </c>
      <c r="G522" s="66">
        <v>0.8732</v>
      </c>
      <c r="H522" s="66">
        <v>0.3377</v>
      </c>
      <c r="I522" s="66">
        <v>0.1634</v>
      </c>
      <c r="J522" s="66">
        <v>4.754</v>
      </c>
      <c r="K522" s="66">
        <v>1.7625</v>
      </c>
      <c r="L522" s="82">
        <v>44678.0</v>
      </c>
    </row>
    <row r="523">
      <c r="A523" s="66" t="s">
        <v>179</v>
      </c>
      <c r="B523" s="66">
        <v>2025.0</v>
      </c>
      <c r="C523" s="66">
        <v>2.0</v>
      </c>
      <c r="D523" s="66">
        <v>0.0</v>
      </c>
      <c r="F523" s="66">
        <v>0.9683</v>
      </c>
      <c r="G523" s="66">
        <v>0.4903</v>
      </c>
      <c r="H523" s="66">
        <v>0.1012</v>
      </c>
      <c r="I523" s="66">
        <v>0.0541</v>
      </c>
      <c r="J523" s="66">
        <v>2.472</v>
      </c>
      <c r="K523" s="66">
        <v>1.3225</v>
      </c>
      <c r="L523" s="82">
        <v>44678.0</v>
      </c>
    </row>
    <row r="524">
      <c r="A524" s="66" t="s">
        <v>179</v>
      </c>
      <c r="B524" s="66">
        <v>2006.0</v>
      </c>
      <c r="C524" s="66">
        <v>3.0</v>
      </c>
      <c r="D524" s="66">
        <v>0.0</v>
      </c>
      <c r="F524" s="66">
        <v>0.4397</v>
      </c>
      <c r="G524" s="66">
        <v>0.2291</v>
      </c>
      <c r="H524" s="66">
        <v>0.0448</v>
      </c>
      <c r="I524" s="66">
        <v>0.0249</v>
      </c>
      <c r="J524" s="66">
        <v>0.881</v>
      </c>
      <c r="K524" s="66">
        <v>1.0575</v>
      </c>
      <c r="L524" s="82">
        <v>44678.0</v>
      </c>
    </row>
    <row r="525">
      <c r="A525" s="66" t="s">
        <v>179</v>
      </c>
      <c r="B525" s="66">
        <v>1478.0</v>
      </c>
      <c r="C525" s="66">
        <v>2.0</v>
      </c>
      <c r="D525" s="66">
        <v>0.0</v>
      </c>
      <c r="F525" s="66">
        <v>0.8644</v>
      </c>
      <c r="G525" s="66">
        <v>0.4127</v>
      </c>
      <c r="H525" s="66">
        <v>0.1551</v>
      </c>
      <c r="I525" s="66">
        <v>0.0685</v>
      </c>
      <c r="J525" s="66">
        <v>3.021</v>
      </c>
      <c r="K525" s="66">
        <v>1.6425</v>
      </c>
      <c r="L525" s="82">
        <v>44678.0</v>
      </c>
    </row>
    <row r="526">
      <c r="A526" s="66" t="s">
        <v>179</v>
      </c>
      <c r="B526" s="66">
        <v>2085.0</v>
      </c>
      <c r="C526" s="66">
        <v>3.0</v>
      </c>
      <c r="D526" s="66">
        <v>0.0</v>
      </c>
      <c r="F526" s="66">
        <v>1.2228</v>
      </c>
      <c r="G526" s="66">
        <v>0.59</v>
      </c>
      <c r="H526" s="66">
        <v>0.1896</v>
      </c>
      <c r="I526" s="66">
        <v>0.0904</v>
      </c>
      <c r="J526" s="66">
        <v>3.211</v>
      </c>
      <c r="K526" s="66">
        <v>1.5475</v>
      </c>
      <c r="L526" s="82">
        <v>44678.0</v>
      </c>
    </row>
    <row r="527">
      <c r="A527" s="66" t="s">
        <v>179</v>
      </c>
      <c r="B527" s="66">
        <v>2027.0</v>
      </c>
      <c r="C527" s="66">
        <v>1.0</v>
      </c>
      <c r="D527" s="66">
        <v>0.0</v>
      </c>
      <c r="F527" s="66">
        <v>0.4077</v>
      </c>
      <c r="G527" s="66">
        <v>0.2185</v>
      </c>
      <c r="H527" s="66">
        <v>0.0185</v>
      </c>
      <c r="I527" s="66">
        <v>0.0112</v>
      </c>
      <c r="J527" s="66">
        <v>0.653</v>
      </c>
      <c r="K527" s="66">
        <v>0.8175</v>
      </c>
      <c r="L527" s="82">
        <v>44678.0</v>
      </c>
    </row>
    <row r="528">
      <c r="A528" s="66" t="s">
        <v>179</v>
      </c>
      <c r="B528" s="66">
        <v>2027.0</v>
      </c>
      <c r="C528" s="66">
        <v>2.0</v>
      </c>
      <c r="D528" s="66">
        <v>0.0</v>
      </c>
      <c r="F528" s="66">
        <v>0.5795</v>
      </c>
      <c r="G528" s="66">
        <v>0.3075</v>
      </c>
      <c r="H528" s="66">
        <v>0.0352</v>
      </c>
      <c r="I528" s="66">
        <v>0.0173</v>
      </c>
      <c r="J528" s="66">
        <v>0.861</v>
      </c>
      <c r="K528" s="66">
        <v>1.15</v>
      </c>
      <c r="L528" s="82">
        <v>44678.0</v>
      </c>
    </row>
    <row r="529">
      <c r="A529" s="66" t="s">
        <v>57</v>
      </c>
      <c r="B529" s="66">
        <v>2030.0</v>
      </c>
      <c r="C529" s="66">
        <v>3.0</v>
      </c>
      <c r="D529" s="66">
        <v>2.0</v>
      </c>
      <c r="F529" s="66">
        <v>1.0969</v>
      </c>
      <c r="G529" s="66">
        <v>0.6789</v>
      </c>
      <c r="H529" s="66">
        <v>0.3361</v>
      </c>
      <c r="I529" s="66">
        <v>0.2084</v>
      </c>
      <c r="J529" s="66">
        <v>4.526</v>
      </c>
      <c r="K529" s="66">
        <v>2.1225</v>
      </c>
      <c r="L529" s="82">
        <v>44678.0</v>
      </c>
    </row>
    <row r="530">
      <c r="A530" s="66" t="s">
        <v>179</v>
      </c>
      <c r="B530" s="66">
        <v>2085.0</v>
      </c>
      <c r="C530" s="66">
        <v>2.0</v>
      </c>
      <c r="D530" s="66">
        <v>0.0</v>
      </c>
      <c r="F530" s="66">
        <v>0.5359</v>
      </c>
      <c r="G530" s="66">
        <v>0.2637</v>
      </c>
      <c r="H530" s="66">
        <v>0.0326</v>
      </c>
      <c r="I530" s="66">
        <v>0.0156</v>
      </c>
      <c r="J530" s="66">
        <v>0.749</v>
      </c>
      <c r="K530" s="66">
        <v>0.8775</v>
      </c>
      <c r="L530" s="82">
        <v>44678.0</v>
      </c>
    </row>
    <row r="531">
      <c r="A531" s="66" t="s">
        <v>57</v>
      </c>
      <c r="B531" s="66">
        <v>2091.0</v>
      </c>
      <c r="C531" s="66">
        <v>3.0</v>
      </c>
      <c r="D531" s="66">
        <v>1.0</v>
      </c>
      <c r="F531" s="66">
        <v>0.5993</v>
      </c>
      <c r="G531" s="66">
        <v>0.3538</v>
      </c>
      <c r="H531" s="66">
        <v>0.3349</v>
      </c>
      <c r="I531" s="66">
        <v>0.1851</v>
      </c>
      <c r="J531" s="66">
        <v>4.342</v>
      </c>
      <c r="K531" s="66">
        <v>1.5</v>
      </c>
      <c r="L531" s="82">
        <v>44678.0</v>
      </c>
    </row>
    <row r="532">
      <c r="A532" s="66" t="s">
        <v>179</v>
      </c>
      <c r="B532" s="66">
        <v>2024.0</v>
      </c>
      <c r="C532" s="66">
        <v>2.0</v>
      </c>
      <c r="D532" s="66">
        <v>0.0</v>
      </c>
      <c r="F532" s="66">
        <v>0.4888</v>
      </c>
      <c r="G532" s="66">
        <v>0.2515</v>
      </c>
      <c r="H532" s="66">
        <v>0.1115</v>
      </c>
      <c r="I532" s="66">
        <v>0.0578</v>
      </c>
      <c r="J532" s="66">
        <v>1.777</v>
      </c>
      <c r="K532" s="66">
        <v>1.4675</v>
      </c>
      <c r="L532" s="82">
        <v>44678.0</v>
      </c>
    </row>
    <row r="533">
      <c r="A533" s="66" t="s">
        <v>179</v>
      </c>
      <c r="B533" s="66">
        <v>2026.0</v>
      </c>
      <c r="C533" s="66">
        <v>1.0</v>
      </c>
      <c r="D533" s="66">
        <v>0.0</v>
      </c>
      <c r="F533" s="66">
        <v>0.6326</v>
      </c>
      <c r="G533" s="66">
        <v>0.3277</v>
      </c>
      <c r="H533" s="66">
        <v>0.1333</v>
      </c>
      <c r="I533" s="66">
        <v>0.071</v>
      </c>
      <c r="J533" s="66">
        <v>2.274</v>
      </c>
      <c r="K533" s="66">
        <v>1.0025</v>
      </c>
      <c r="L533" s="82">
        <v>44678.0</v>
      </c>
    </row>
    <row r="534">
      <c r="A534" s="66" t="s">
        <v>57</v>
      </c>
      <c r="B534" s="66">
        <v>2030.0</v>
      </c>
      <c r="C534" s="66">
        <v>1.0</v>
      </c>
      <c r="D534" s="66">
        <v>1.0</v>
      </c>
      <c r="F534" s="66">
        <v>0.3407</v>
      </c>
      <c r="G534" s="66">
        <v>0.2037</v>
      </c>
      <c r="H534" s="66">
        <v>0.0955</v>
      </c>
      <c r="I534" s="66">
        <v>0.0538</v>
      </c>
      <c r="J534" s="66">
        <v>2.488</v>
      </c>
      <c r="K534" s="66">
        <v>1.78</v>
      </c>
      <c r="L534" s="82">
        <v>44678.0</v>
      </c>
    </row>
    <row r="535">
      <c r="A535" s="66" t="s">
        <v>179</v>
      </c>
      <c r="B535" s="66">
        <v>2015.0</v>
      </c>
      <c r="C535" s="66">
        <v>3.0</v>
      </c>
      <c r="D535" s="66">
        <v>0.0</v>
      </c>
      <c r="F535" s="66">
        <v>0.2954</v>
      </c>
      <c r="G535" s="66">
        <v>0.1497</v>
      </c>
      <c r="H535" s="66">
        <v>0.0671</v>
      </c>
      <c r="I535" s="66">
        <v>0.0361</v>
      </c>
      <c r="J535" s="66">
        <v>1.741</v>
      </c>
      <c r="K535" s="66">
        <v>0.94</v>
      </c>
      <c r="L535" s="82">
        <v>44678.0</v>
      </c>
    </row>
    <row r="536">
      <c r="A536" s="66" t="s">
        <v>179</v>
      </c>
      <c r="B536" s="66">
        <v>2028.0</v>
      </c>
      <c r="C536" s="66">
        <v>1.0</v>
      </c>
      <c r="D536" s="66">
        <v>0.0</v>
      </c>
      <c r="F536" s="66">
        <v>0.435</v>
      </c>
      <c r="G536" s="66">
        <v>0.228</v>
      </c>
      <c r="H536" s="66">
        <v>0.0605</v>
      </c>
      <c r="I536" s="66">
        <v>0.0317</v>
      </c>
      <c r="J536" s="66">
        <v>1.647</v>
      </c>
      <c r="K536" s="66">
        <v>1.2025</v>
      </c>
      <c r="L536" s="82">
        <v>44678.0</v>
      </c>
    </row>
    <row r="537">
      <c r="A537" s="66" t="s">
        <v>179</v>
      </c>
      <c r="B537" s="66">
        <v>2024.0</v>
      </c>
      <c r="C537" s="66">
        <v>1.0</v>
      </c>
      <c r="D537" s="66">
        <v>0.0</v>
      </c>
      <c r="F537" s="66">
        <v>0.8289</v>
      </c>
      <c r="G537" s="66">
        <v>0.418</v>
      </c>
      <c r="H537" s="66">
        <v>0.0566</v>
      </c>
      <c r="I537" s="66">
        <v>0.0298</v>
      </c>
      <c r="J537" s="66">
        <v>0.926</v>
      </c>
      <c r="K537" s="66">
        <v>1.22</v>
      </c>
      <c r="L537" s="82">
        <v>44678.0</v>
      </c>
    </row>
    <row r="538">
      <c r="A538" s="66" t="s">
        <v>57</v>
      </c>
      <c r="B538" s="66">
        <v>2092.0</v>
      </c>
      <c r="C538" s="66">
        <v>1.0</v>
      </c>
      <c r="D538" s="66">
        <v>1.0</v>
      </c>
      <c r="F538" s="66">
        <v>0.9139</v>
      </c>
      <c r="G538" s="66">
        <v>0.5666</v>
      </c>
      <c r="H538" s="66">
        <v>0.1517</v>
      </c>
      <c r="I538" s="66">
        <v>0.083</v>
      </c>
      <c r="J538" s="66">
        <v>2.597</v>
      </c>
      <c r="K538" s="66">
        <v>1.4275</v>
      </c>
      <c r="L538" s="82">
        <v>44678.0</v>
      </c>
    </row>
    <row r="539">
      <c r="A539" s="66" t="s">
        <v>57</v>
      </c>
      <c r="B539" s="66">
        <v>2023.0</v>
      </c>
      <c r="C539" s="66">
        <v>2.0</v>
      </c>
      <c r="D539" s="66">
        <v>0.0</v>
      </c>
      <c r="F539" s="66">
        <v>0.9071</v>
      </c>
      <c r="G539" s="66">
        <v>0.4935</v>
      </c>
      <c r="H539" s="66">
        <v>0.0936</v>
      </c>
      <c r="I539" s="66">
        <v>0.0512</v>
      </c>
      <c r="J539" s="66">
        <v>1.735</v>
      </c>
      <c r="K539" s="66">
        <v>1.14</v>
      </c>
      <c r="L539" s="82">
        <v>44678.0</v>
      </c>
    </row>
    <row r="540">
      <c r="A540" s="66" t="s">
        <v>57</v>
      </c>
      <c r="B540" s="66">
        <v>2089.0</v>
      </c>
      <c r="C540" s="66">
        <v>3.0</v>
      </c>
      <c r="D540" s="66">
        <v>1.0</v>
      </c>
      <c r="F540" s="66">
        <v>1.1415</v>
      </c>
      <c r="G540" s="66">
        <v>0.6609</v>
      </c>
      <c r="H540" s="66">
        <v>0.1959</v>
      </c>
      <c r="I540" s="66">
        <v>0.0951</v>
      </c>
      <c r="J540" s="66">
        <v>4.816</v>
      </c>
      <c r="K540" s="66">
        <v>1.445</v>
      </c>
      <c r="L540" s="82">
        <v>44678.0</v>
      </c>
    </row>
    <row r="541">
      <c r="A541" s="66" t="s">
        <v>179</v>
      </c>
      <c r="B541" s="66">
        <v>2090.0</v>
      </c>
      <c r="C541" s="66">
        <v>3.0</v>
      </c>
      <c r="D541" s="66">
        <v>0.0</v>
      </c>
      <c r="F541" s="66">
        <v>0.5719</v>
      </c>
      <c r="G541" s="66">
        <v>0.276</v>
      </c>
      <c r="H541" s="66">
        <v>0.0527</v>
      </c>
      <c r="I541" s="66">
        <v>0.0242</v>
      </c>
      <c r="J541" s="66">
        <v>0.898</v>
      </c>
      <c r="K541" s="66">
        <v>1.04</v>
      </c>
      <c r="L541" s="82">
        <v>44678.0</v>
      </c>
    </row>
    <row r="542">
      <c r="A542" s="66" t="s">
        <v>179</v>
      </c>
      <c r="B542" s="66">
        <v>2031.0</v>
      </c>
      <c r="C542" s="66">
        <v>3.0</v>
      </c>
      <c r="D542" s="66">
        <v>0.0</v>
      </c>
      <c r="F542" s="66">
        <v>0.5196</v>
      </c>
      <c r="G542" s="66">
        <v>0.2668</v>
      </c>
      <c r="H542" s="66">
        <v>0.0376</v>
      </c>
      <c r="I542" s="66">
        <v>0.0198</v>
      </c>
      <c r="J542" s="66">
        <v>1.113</v>
      </c>
      <c r="K542" s="66">
        <v>1.1525</v>
      </c>
      <c r="L542" s="82">
        <v>44678.0</v>
      </c>
    </row>
    <row r="543">
      <c r="A543" s="66" t="s">
        <v>57</v>
      </c>
      <c r="B543" s="66">
        <v>2091.0</v>
      </c>
      <c r="C543" s="66">
        <v>2.0</v>
      </c>
      <c r="D543" s="66">
        <v>1.0</v>
      </c>
      <c r="F543" s="66">
        <v>1.953</v>
      </c>
      <c r="G543" s="66">
        <v>1.1336</v>
      </c>
      <c r="H543" s="66">
        <v>0.6112</v>
      </c>
      <c r="I543" s="66">
        <v>0.3194</v>
      </c>
      <c r="J543" s="66">
        <v>7.933</v>
      </c>
      <c r="K543" s="66">
        <v>2.045</v>
      </c>
      <c r="L543" s="82">
        <v>44678.0</v>
      </c>
    </row>
    <row r="544">
      <c r="A544" s="66" t="s">
        <v>179</v>
      </c>
      <c r="B544" s="66">
        <v>2354.0</v>
      </c>
      <c r="C544" s="66">
        <v>3.0</v>
      </c>
      <c r="D544" s="66">
        <v>0.0</v>
      </c>
      <c r="F544" s="66">
        <v>1.0403</v>
      </c>
      <c r="G544" s="66">
        <v>0.4935</v>
      </c>
      <c r="H544" s="66">
        <v>0.119</v>
      </c>
      <c r="I544" s="66">
        <v>0.0531</v>
      </c>
      <c r="J544" s="66">
        <v>2.317</v>
      </c>
      <c r="K544" s="66">
        <v>1.26</v>
      </c>
      <c r="L544" s="82">
        <v>44678.0</v>
      </c>
    </row>
    <row r="545">
      <c r="A545" s="66" t="s">
        <v>57</v>
      </c>
      <c r="B545" s="66">
        <v>2029.0</v>
      </c>
      <c r="C545" s="66">
        <v>2.0</v>
      </c>
      <c r="D545" s="66">
        <v>1.0</v>
      </c>
      <c r="F545" s="66">
        <v>0.674</v>
      </c>
      <c r="G545" s="66">
        <v>0.4458</v>
      </c>
      <c r="H545" s="66">
        <v>0.1823</v>
      </c>
      <c r="I545" s="66">
        <v>0.1095</v>
      </c>
      <c r="J545" s="66">
        <v>5.248</v>
      </c>
      <c r="K545" s="66">
        <v>1.2575</v>
      </c>
      <c r="L545" s="82">
        <v>44678.0</v>
      </c>
    </row>
    <row r="546">
      <c r="A546" s="66" t="s">
        <v>179</v>
      </c>
      <c r="B546" s="66">
        <v>2086.0</v>
      </c>
      <c r="C546" s="66">
        <v>1.0</v>
      </c>
      <c r="D546" s="66">
        <v>0.0</v>
      </c>
      <c r="F546" s="66">
        <v>1.5047</v>
      </c>
      <c r="G546" s="66">
        <v>0.7117</v>
      </c>
      <c r="H546" s="66">
        <v>0.1725</v>
      </c>
      <c r="I546" s="66">
        <v>0.0825</v>
      </c>
      <c r="J546" s="66">
        <v>2.411</v>
      </c>
      <c r="K546" s="66">
        <v>1.7475</v>
      </c>
      <c r="L546" s="82">
        <v>44678.0</v>
      </c>
    </row>
    <row r="547">
      <c r="A547" s="66" t="s">
        <v>179</v>
      </c>
      <c r="B547" s="66">
        <v>2004.0</v>
      </c>
      <c r="C547" s="66">
        <v>2.0</v>
      </c>
      <c r="D547" s="66">
        <v>0.0</v>
      </c>
      <c r="F547" s="66">
        <v>0.3466</v>
      </c>
      <c r="G547" s="66">
        <v>0.1856</v>
      </c>
      <c r="H547" s="66">
        <v>0.0519</v>
      </c>
      <c r="I547" s="66">
        <v>0.0265</v>
      </c>
      <c r="J547" s="66">
        <v>1.699</v>
      </c>
      <c r="K547" s="66">
        <v>1.07</v>
      </c>
      <c r="L547" s="82">
        <v>44678.0</v>
      </c>
    </row>
    <row r="548">
      <c r="A548" s="66" t="s">
        <v>57</v>
      </c>
      <c r="B548" s="66">
        <v>2093.0</v>
      </c>
      <c r="C548" s="66">
        <v>2.0</v>
      </c>
      <c r="D548" s="66">
        <v>1.0</v>
      </c>
      <c r="F548" s="66">
        <v>0.744</v>
      </c>
      <c r="G548" s="66">
        <v>0.4617</v>
      </c>
      <c r="H548" s="66">
        <v>0.1032</v>
      </c>
      <c r="I548" s="66">
        <v>0.0632</v>
      </c>
      <c r="J548" s="66">
        <v>4.234</v>
      </c>
      <c r="K548" s="66">
        <v>1.185</v>
      </c>
      <c r="L548" s="82">
        <v>44678.0</v>
      </c>
    </row>
    <row r="549">
      <c r="A549" s="66" t="s">
        <v>179</v>
      </c>
      <c r="B549" s="66">
        <v>2021.0</v>
      </c>
      <c r="C549" s="66">
        <v>2.0</v>
      </c>
      <c r="D549" s="66">
        <v>0.0</v>
      </c>
      <c r="F549" s="66">
        <v>0.4611</v>
      </c>
      <c r="G549" s="66">
        <v>0.2321</v>
      </c>
      <c r="H549" s="66">
        <v>0.0317</v>
      </c>
      <c r="I549" s="66">
        <v>0.0156</v>
      </c>
      <c r="J549" s="66">
        <v>0.766</v>
      </c>
      <c r="K549" s="66">
        <v>1.0125</v>
      </c>
      <c r="L549" s="82">
        <v>44678.0</v>
      </c>
    </row>
    <row r="550">
      <c r="A550" s="66" t="s">
        <v>179</v>
      </c>
      <c r="B550" s="66">
        <v>2004.0</v>
      </c>
      <c r="C550" s="66">
        <v>3.0</v>
      </c>
      <c r="D550" s="66">
        <v>0.0</v>
      </c>
      <c r="F550" s="66">
        <v>0.3888</v>
      </c>
      <c r="G550" s="66">
        <v>0.2117</v>
      </c>
      <c r="H550" s="66">
        <v>0.0588</v>
      </c>
      <c r="I550" s="66">
        <v>0.031</v>
      </c>
      <c r="J550" s="66">
        <v>1.778</v>
      </c>
      <c r="K550" s="66">
        <v>0.9775</v>
      </c>
      <c r="L550" s="82">
        <v>44678.0</v>
      </c>
    </row>
    <row r="551">
      <c r="A551" s="66" t="s">
        <v>57</v>
      </c>
      <c r="B551" s="66">
        <v>2022.0</v>
      </c>
      <c r="C551" s="66">
        <v>1.0</v>
      </c>
      <c r="D551" s="66">
        <v>1.0</v>
      </c>
      <c r="F551" s="66">
        <v>0.8411</v>
      </c>
      <c r="G551" s="66">
        <v>0.5286</v>
      </c>
      <c r="H551" s="66">
        <v>0.0971</v>
      </c>
      <c r="I551" s="66">
        <v>0.0599</v>
      </c>
      <c r="J551" s="66">
        <v>2.757</v>
      </c>
      <c r="K551" s="66">
        <v>1.2</v>
      </c>
      <c r="L551" s="82">
        <v>44678.0</v>
      </c>
    </row>
    <row r="552">
      <c r="A552" s="66" t="s">
        <v>179</v>
      </c>
      <c r="B552" s="66">
        <v>2025.0</v>
      </c>
      <c r="C552" s="66">
        <v>3.0</v>
      </c>
      <c r="D552" s="66">
        <v>0.0</v>
      </c>
      <c r="F552" s="66">
        <v>0.3645</v>
      </c>
      <c r="G552" s="66">
        <v>0.1817</v>
      </c>
      <c r="H552" s="66">
        <v>0.0096</v>
      </c>
      <c r="I552" s="66">
        <v>0.0046</v>
      </c>
      <c r="J552" s="66">
        <v>0.526</v>
      </c>
      <c r="K552" s="66">
        <v>0.7325</v>
      </c>
      <c r="L552" s="82">
        <v>44678.0</v>
      </c>
    </row>
    <row r="553">
      <c r="A553" s="66" t="s">
        <v>57</v>
      </c>
      <c r="B553" s="66">
        <v>2089.0</v>
      </c>
      <c r="C553" s="66">
        <v>3.0</v>
      </c>
      <c r="D553" s="66">
        <v>0.0</v>
      </c>
      <c r="F553" s="66">
        <v>1.8729</v>
      </c>
      <c r="G553" s="66">
        <v>0.6118</v>
      </c>
      <c r="H553" s="66">
        <v>0.1724</v>
      </c>
      <c r="I553" s="66">
        <v>0.0548</v>
      </c>
      <c r="J553" s="66">
        <v>5.458</v>
      </c>
      <c r="K553" s="66">
        <v>1.2975</v>
      </c>
      <c r="L553" s="82">
        <v>44678.0</v>
      </c>
    </row>
    <row r="554">
      <c r="A554" s="66" t="s">
        <v>179</v>
      </c>
      <c r="B554" s="66">
        <v>2087.0</v>
      </c>
      <c r="C554" s="66">
        <v>1.0</v>
      </c>
      <c r="D554" s="66">
        <v>0.0</v>
      </c>
      <c r="F554" s="66">
        <v>0.7985</v>
      </c>
      <c r="G554" s="66">
        <v>0.3934</v>
      </c>
      <c r="H554" s="66">
        <v>0.2528</v>
      </c>
      <c r="I554" s="66">
        <v>0.1178</v>
      </c>
      <c r="J554" s="66">
        <v>2.436</v>
      </c>
      <c r="K554" s="66">
        <v>1.41</v>
      </c>
      <c r="L554" s="82">
        <v>44678.0</v>
      </c>
    </row>
    <row r="555">
      <c r="A555" s="66" t="s">
        <v>57</v>
      </c>
      <c r="B555" s="66">
        <v>2093.0</v>
      </c>
      <c r="C555" s="66">
        <v>3.0</v>
      </c>
      <c r="D555" s="66">
        <v>1.0</v>
      </c>
      <c r="F555" s="66">
        <v>0.2874</v>
      </c>
      <c r="G555" s="66">
        <v>0.1862</v>
      </c>
      <c r="H555" s="66">
        <v>0.0393</v>
      </c>
      <c r="I555" s="66">
        <v>0.0237</v>
      </c>
      <c r="J555" s="66">
        <v>1.412</v>
      </c>
      <c r="K555" s="66">
        <v>1.0925</v>
      </c>
      <c r="L555" s="82">
        <v>44678.0</v>
      </c>
    </row>
    <row r="556">
      <c r="A556" s="66" t="s">
        <v>57</v>
      </c>
      <c r="B556" s="66">
        <v>2023.0</v>
      </c>
      <c r="C556" s="66">
        <v>2.0</v>
      </c>
      <c r="D556" s="66">
        <v>0.0</v>
      </c>
      <c r="F556" s="66">
        <v>1.795</v>
      </c>
      <c r="G556" s="66">
        <v>0.991</v>
      </c>
      <c r="H556" s="66">
        <v>0.1701</v>
      </c>
      <c r="I556" s="66">
        <v>0.0957</v>
      </c>
      <c r="J556" s="66">
        <v>4.584</v>
      </c>
      <c r="K556" s="66">
        <v>1.36</v>
      </c>
      <c r="L556" s="82">
        <v>44678.0</v>
      </c>
    </row>
    <row r="557">
      <c r="A557" s="66" t="s">
        <v>57</v>
      </c>
      <c r="B557" s="66">
        <v>2093.0</v>
      </c>
      <c r="C557" s="66">
        <v>1.0</v>
      </c>
      <c r="D557" s="66">
        <v>1.0</v>
      </c>
      <c r="F557" s="66">
        <v>1.5029</v>
      </c>
      <c r="G557" s="66">
        <v>0.9266</v>
      </c>
      <c r="H557" s="66">
        <v>0.4198</v>
      </c>
      <c r="I557" s="66">
        <v>0.2405</v>
      </c>
      <c r="J557" s="66">
        <v>9.247</v>
      </c>
      <c r="K557" s="66">
        <v>1.8825</v>
      </c>
      <c r="L557" s="82">
        <v>44678.0</v>
      </c>
    </row>
    <row r="558">
      <c r="A558" s="66" t="s">
        <v>57</v>
      </c>
      <c r="B558" s="66">
        <v>2093.0</v>
      </c>
      <c r="C558" s="66">
        <v>3.0</v>
      </c>
      <c r="D558" s="66">
        <v>2.0</v>
      </c>
      <c r="F558" s="66">
        <v>1.5599</v>
      </c>
      <c r="G558" s="66">
        <v>0.9791</v>
      </c>
      <c r="H558" s="66">
        <v>0.6057</v>
      </c>
      <c r="I558" s="66">
        <v>0.3663</v>
      </c>
      <c r="J558" s="66">
        <v>11.042</v>
      </c>
      <c r="K558" s="66">
        <v>2.09</v>
      </c>
      <c r="L558" s="82">
        <v>44678.0</v>
      </c>
    </row>
    <row r="559">
      <c r="A559" s="66" t="s">
        <v>57</v>
      </c>
      <c r="B559" s="66">
        <v>2022.0</v>
      </c>
      <c r="C559" s="66">
        <v>2.0</v>
      </c>
      <c r="D559" s="66">
        <v>1.0</v>
      </c>
      <c r="F559" s="66">
        <v>0.5986</v>
      </c>
      <c r="G559" s="66">
        <v>0.3836</v>
      </c>
      <c r="H559" s="66">
        <v>0.0665</v>
      </c>
      <c r="I559" s="66">
        <v>0.0396</v>
      </c>
      <c r="J559" s="66">
        <v>2.512</v>
      </c>
      <c r="K559" s="66">
        <v>1.485</v>
      </c>
      <c r="L559" s="82">
        <v>44678.0</v>
      </c>
    </row>
    <row r="560">
      <c r="A560" s="66" t="s">
        <v>179</v>
      </c>
      <c r="B560" s="66">
        <v>2006.0</v>
      </c>
      <c r="C560" s="66">
        <v>2.0</v>
      </c>
      <c r="D560" s="66">
        <v>0.0</v>
      </c>
      <c r="F560" s="66">
        <v>1.1535</v>
      </c>
      <c r="G560" s="66">
        <v>0.5933</v>
      </c>
      <c r="H560" s="66">
        <v>0.1</v>
      </c>
      <c r="I560" s="66">
        <v>0.0529</v>
      </c>
      <c r="J560" s="66">
        <v>1.636</v>
      </c>
      <c r="K560" s="66">
        <v>1.485</v>
      </c>
      <c r="L560" s="82">
        <v>44678.0</v>
      </c>
    </row>
    <row r="561">
      <c r="A561" s="66" t="s">
        <v>57</v>
      </c>
      <c r="B561" s="66">
        <v>2092.0</v>
      </c>
      <c r="C561" s="66">
        <v>3.0</v>
      </c>
      <c r="D561" s="66">
        <v>1.0</v>
      </c>
      <c r="F561" s="66">
        <v>0.363</v>
      </c>
      <c r="G561" s="66">
        <v>0.2295</v>
      </c>
      <c r="H561" s="66">
        <v>0.0671</v>
      </c>
      <c r="I561" s="66">
        <v>0.0374</v>
      </c>
      <c r="J561" s="66">
        <v>1.932</v>
      </c>
      <c r="K561" s="66">
        <v>1.065</v>
      </c>
      <c r="L561" s="82">
        <v>44678.0</v>
      </c>
    </row>
    <row r="562">
      <c r="A562" s="66" t="s">
        <v>179</v>
      </c>
      <c r="B562" s="66">
        <v>2020.0</v>
      </c>
      <c r="C562" s="66">
        <v>2.0</v>
      </c>
      <c r="D562" s="66">
        <v>0.0</v>
      </c>
      <c r="F562" s="66">
        <v>0.7074</v>
      </c>
      <c r="G562" s="66">
        <v>0.3728</v>
      </c>
      <c r="H562" s="66">
        <v>0.1182</v>
      </c>
      <c r="I562" s="66">
        <v>0.0594</v>
      </c>
      <c r="J562" s="66">
        <v>2.371</v>
      </c>
      <c r="K562" s="66">
        <v>1.3825</v>
      </c>
      <c r="L562" s="82">
        <v>44678.0</v>
      </c>
    </row>
    <row r="563">
      <c r="A563" s="66" t="s">
        <v>57</v>
      </c>
      <c r="B563" s="66">
        <v>2091.0</v>
      </c>
      <c r="C563" s="66">
        <v>3.0</v>
      </c>
      <c r="D563" s="66">
        <v>0.0</v>
      </c>
      <c r="F563" s="66">
        <v>0.7614</v>
      </c>
      <c r="G563" s="66">
        <v>0.2798</v>
      </c>
      <c r="H563" s="66">
        <v>0.0564</v>
      </c>
      <c r="I563" s="66">
        <v>0.0221</v>
      </c>
      <c r="J563" s="66">
        <v>2.436</v>
      </c>
      <c r="K563" s="66">
        <v>1.0275</v>
      </c>
      <c r="L563" s="82">
        <v>44678.0</v>
      </c>
    </row>
    <row r="564">
      <c r="A564" s="66" t="s">
        <v>179</v>
      </c>
      <c r="B564" s="66">
        <v>2006.0</v>
      </c>
      <c r="C564" s="66">
        <v>1.0</v>
      </c>
      <c r="D564" s="66">
        <v>0.0</v>
      </c>
      <c r="F564" s="66">
        <v>1.4527</v>
      </c>
      <c r="G564" s="66">
        <v>0.7419</v>
      </c>
      <c r="H564" s="66">
        <v>0.1881</v>
      </c>
      <c r="I564" s="66">
        <v>0.0962</v>
      </c>
      <c r="J564" s="66">
        <v>2.87</v>
      </c>
      <c r="K564" s="66">
        <v>1.9225</v>
      </c>
      <c r="L564" s="82">
        <v>44678.0</v>
      </c>
    </row>
    <row r="565">
      <c r="A565" s="66" t="s">
        <v>179</v>
      </c>
      <c r="B565" s="66">
        <v>2012.0</v>
      </c>
      <c r="C565" s="66">
        <v>2.0</v>
      </c>
      <c r="D565" s="66">
        <v>0.0</v>
      </c>
      <c r="F565" s="66">
        <v>0.3077</v>
      </c>
      <c r="G565" s="66">
        <v>0.1517</v>
      </c>
      <c r="H565" s="66">
        <v>0.0194</v>
      </c>
      <c r="I565" s="66">
        <v>0.0092</v>
      </c>
      <c r="J565" s="66">
        <v>0.73</v>
      </c>
      <c r="K565" s="66">
        <v>0.7725</v>
      </c>
      <c r="L565" s="82">
        <v>44678.0</v>
      </c>
    </row>
    <row r="566">
      <c r="A566" s="66" t="s">
        <v>57</v>
      </c>
      <c r="B566" s="66">
        <v>2022.0</v>
      </c>
      <c r="C566" s="66">
        <v>3.0</v>
      </c>
      <c r="D566" s="66">
        <v>1.0</v>
      </c>
      <c r="F566" s="66">
        <v>0.6953</v>
      </c>
      <c r="G566" s="66">
        <v>0.4457</v>
      </c>
      <c r="H566" s="66">
        <v>0.1044</v>
      </c>
      <c r="I566" s="66">
        <v>0.0637</v>
      </c>
      <c r="J566" s="66">
        <v>4.059</v>
      </c>
      <c r="K566" s="66">
        <v>1.375</v>
      </c>
      <c r="L566" s="82">
        <v>44678.0</v>
      </c>
    </row>
    <row r="567">
      <c r="A567" s="66" t="s">
        <v>57</v>
      </c>
      <c r="B567" s="66">
        <v>2030.0</v>
      </c>
      <c r="C567" s="66">
        <v>2.0</v>
      </c>
      <c r="D567" s="66">
        <v>0.0</v>
      </c>
      <c r="F567" s="66">
        <v>1.1271</v>
      </c>
      <c r="G567" s="66">
        <v>0.6017</v>
      </c>
      <c r="H567" s="66">
        <v>0.0577</v>
      </c>
      <c r="I567" s="66">
        <v>0.0309</v>
      </c>
      <c r="J567" s="66">
        <v>1.275</v>
      </c>
      <c r="K567" s="66">
        <v>1.37</v>
      </c>
      <c r="L567" s="82">
        <v>44678.0</v>
      </c>
    </row>
    <row r="568">
      <c r="A568" s="66" t="s">
        <v>179</v>
      </c>
      <c r="B568" s="66">
        <v>2088.0</v>
      </c>
      <c r="C568" s="66">
        <v>3.0</v>
      </c>
      <c r="D568" s="66">
        <v>0.0</v>
      </c>
      <c r="F568" s="66">
        <v>0.7963</v>
      </c>
      <c r="G568" s="66">
        <v>0.3818</v>
      </c>
      <c r="H568" s="66">
        <v>0.1066</v>
      </c>
      <c r="I568" s="66">
        <v>0.0487</v>
      </c>
      <c r="J568" s="66">
        <v>1.788</v>
      </c>
      <c r="K568" s="66">
        <v>1.31</v>
      </c>
      <c r="L568" s="82">
        <v>44678.0</v>
      </c>
    </row>
    <row r="569">
      <c r="A569" s="66" t="s">
        <v>57</v>
      </c>
      <c r="B569" s="66">
        <v>2030.0</v>
      </c>
      <c r="C569" s="66">
        <v>3.0</v>
      </c>
      <c r="D569" s="66">
        <v>0.0</v>
      </c>
      <c r="F569" s="66">
        <v>0.8375</v>
      </c>
      <c r="G569" s="66">
        <v>0.4597</v>
      </c>
      <c r="H569" s="66">
        <v>0.0427</v>
      </c>
      <c r="I569" s="66">
        <v>0.0235</v>
      </c>
      <c r="J569" s="66">
        <v>1.847</v>
      </c>
      <c r="K569" s="66">
        <v>0.945</v>
      </c>
      <c r="L569" s="82">
        <v>44678.0</v>
      </c>
    </row>
    <row r="570">
      <c r="A570" s="66" t="s">
        <v>179</v>
      </c>
      <c r="B570" s="66">
        <v>2088.0</v>
      </c>
      <c r="C570" s="66">
        <v>1.0</v>
      </c>
      <c r="D570" s="66">
        <v>0.0</v>
      </c>
      <c r="F570" s="66">
        <v>0.9022</v>
      </c>
      <c r="G570" s="66">
        <v>0.4362</v>
      </c>
      <c r="H570" s="66">
        <v>0.2399</v>
      </c>
      <c r="I570" s="66">
        <v>0.1077</v>
      </c>
      <c r="J570" s="66">
        <v>4.731</v>
      </c>
      <c r="K570" s="66">
        <v>1.71</v>
      </c>
      <c r="L570" s="82">
        <v>44678.0</v>
      </c>
    </row>
    <row r="571">
      <c r="A571" s="66" t="s">
        <v>179</v>
      </c>
      <c r="B571" s="66">
        <v>2020.0</v>
      </c>
      <c r="C571" s="66">
        <v>3.0</v>
      </c>
      <c r="D571" s="66">
        <v>0.0</v>
      </c>
      <c r="F571" s="66">
        <v>0.695</v>
      </c>
      <c r="G571" s="66">
        <v>0.35</v>
      </c>
      <c r="H571" s="66">
        <v>0.1411</v>
      </c>
      <c r="I571" s="66">
        <v>0.072</v>
      </c>
      <c r="J571" s="66">
        <v>2.292</v>
      </c>
      <c r="K571" s="66">
        <v>1.1975</v>
      </c>
      <c r="L571" s="82">
        <v>44678.0</v>
      </c>
    </row>
    <row r="572">
      <c r="A572" s="66" t="s">
        <v>179</v>
      </c>
      <c r="B572" s="66">
        <v>2087.0</v>
      </c>
      <c r="C572" s="66">
        <v>3.0</v>
      </c>
      <c r="D572" s="66">
        <v>0.0</v>
      </c>
      <c r="F572" s="66">
        <v>0.7498</v>
      </c>
      <c r="G572" s="66">
        <v>0.3583</v>
      </c>
      <c r="H572" s="66">
        <v>0.0694</v>
      </c>
      <c r="I572" s="66">
        <v>0.0298</v>
      </c>
      <c r="J572" s="66">
        <v>1.288</v>
      </c>
      <c r="K572" s="66">
        <v>1.2275</v>
      </c>
      <c r="L572" s="82">
        <v>44678.0</v>
      </c>
    </row>
    <row r="573">
      <c r="A573" s="66" t="s">
        <v>179</v>
      </c>
      <c r="B573" s="66">
        <v>2007.0</v>
      </c>
      <c r="C573" s="66">
        <v>1.0</v>
      </c>
      <c r="D573" s="66">
        <v>0.0</v>
      </c>
      <c r="F573" s="66">
        <v>0.8188</v>
      </c>
      <c r="G573" s="66">
        <v>0.4215</v>
      </c>
      <c r="H573" s="66">
        <v>0.1101</v>
      </c>
      <c r="I573" s="66">
        <v>0.0572</v>
      </c>
      <c r="J573" s="66">
        <v>2.485</v>
      </c>
      <c r="K573" s="66">
        <v>1.1275</v>
      </c>
      <c r="L573" s="82">
        <v>44678.0</v>
      </c>
    </row>
    <row r="574">
      <c r="A574" s="66" t="s">
        <v>179</v>
      </c>
      <c r="B574" s="66">
        <v>2354.0</v>
      </c>
      <c r="C574" s="66">
        <v>1.0</v>
      </c>
      <c r="D574" s="66">
        <v>0.0</v>
      </c>
      <c r="F574" s="66">
        <v>0.6096</v>
      </c>
      <c r="G574" s="66">
        <v>0.291</v>
      </c>
      <c r="H574" s="66">
        <v>0.0836</v>
      </c>
      <c r="I574" s="66">
        <v>0.0368</v>
      </c>
      <c r="J574" s="66">
        <v>2.054</v>
      </c>
      <c r="K574" s="66">
        <v>1.0425</v>
      </c>
      <c r="L574" s="82">
        <v>44678.0</v>
      </c>
    </row>
    <row r="575">
      <c r="A575" s="66" t="s">
        <v>57</v>
      </c>
      <c r="B575" s="66">
        <v>2093.0</v>
      </c>
      <c r="C575" s="66">
        <v>1.0</v>
      </c>
      <c r="D575" s="66">
        <v>0.0</v>
      </c>
      <c r="F575" s="66">
        <v>0.7442</v>
      </c>
      <c r="G575" s="66">
        <v>0.3929</v>
      </c>
      <c r="H575" s="66">
        <v>0.0648</v>
      </c>
      <c r="I575" s="66">
        <v>0.0327</v>
      </c>
      <c r="J575" s="66">
        <v>2.1735</v>
      </c>
      <c r="K575" s="66">
        <v>0.9275</v>
      </c>
      <c r="L575" s="82">
        <v>44678.0</v>
      </c>
    </row>
    <row r="576">
      <c r="A576" s="66" t="s">
        <v>57</v>
      </c>
      <c r="B576" s="66">
        <v>2029.0</v>
      </c>
      <c r="C576" s="66">
        <v>3.0</v>
      </c>
      <c r="D576" s="66">
        <v>0.0</v>
      </c>
      <c r="F576" s="66">
        <v>1.2146</v>
      </c>
      <c r="G576" s="66">
        <v>0.7383</v>
      </c>
      <c r="H576" s="66">
        <v>0.0486</v>
      </c>
      <c r="I576" s="66">
        <v>0.0292</v>
      </c>
      <c r="J576" s="66">
        <v>2.513</v>
      </c>
      <c r="K576" s="66">
        <v>1.05</v>
      </c>
      <c r="L576" s="82">
        <v>44678.0</v>
      </c>
    </row>
    <row r="577">
      <c r="A577" s="66" t="s">
        <v>179</v>
      </c>
      <c r="B577" s="66">
        <v>2007.0</v>
      </c>
      <c r="C577" s="66">
        <v>3.0</v>
      </c>
      <c r="D577" s="66">
        <v>0.0</v>
      </c>
      <c r="F577" s="66">
        <v>0.4045</v>
      </c>
      <c r="G577" s="66">
        <v>0.21</v>
      </c>
      <c r="H577" s="66">
        <v>0.0513</v>
      </c>
      <c r="I577" s="66">
        <v>0.0266</v>
      </c>
      <c r="J577" s="66">
        <v>1.367</v>
      </c>
      <c r="K577" s="66">
        <v>0.88</v>
      </c>
      <c r="L577" s="82">
        <v>44678.0</v>
      </c>
    </row>
    <row r="578">
      <c r="A578" s="66" t="s">
        <v>179</v>
      </c>
      <c r="B578" s="66">
        <v>2090.0</v>
      </c>
      <c r="C578" s="66">
        <v>2.0</v>
      </c>
      <c r="D578" s="66">
        <v>0.0</v>
      </c>
      <c r="F578" s="66">
        <v>0.9755</v>
      </c>
      <c r="G578" s="66">
        <v>0.4616</v>
      </c>
      <c r="H578" s="66">
        <v>0.095</v>
      </c>
      <c r="I578" s="66">
        <v>0.0452</v>
      </c>
      <c r="J578" s="66">
        <v>1.675</v>
      </c>
      <c r="K578" s="66">
        <v>1.2525</v>
      </c>
      <c r="L578" s="82">
        <v>44678.0</v>
      </c>
    </row>
    <row r="579">
      <c r="A579" s="66" t="s">
        <v>57</v>
      </c>
      <c r="B579" s="66">
        <v>2092.0</v>
      </c>
      <c r="C579" s="66">
        <v>2.0</v>
      </c>
      <c r="D579" s="66">
        <v>1.0</v>
      </c>
      <c r="F579" s="66">
        <v>0.5722</v>
      </c>
      <c r="G579" s="66">
        <v>0.3595</v>
      </c>
      <c r="H579" s="66">
        <v>0.2206</v>
      </c>
      <c r="I579" s="66">
        <v>0.1191</v>
      </c>
      <c r="J579" s="66">
        <v>3.557</v>
      </c>
      <c r="K579" s="66">
        <v>1.635</v>
      </c>
      <c r="L579" s="82">
        <v>44678.0</v>
      </c>
    </row>
    <row r="580">
      <c r="A580" s="66" t="s">
        <v>179</v>
      </c>
      <c r="B580" s="66">
        <v>2375.0</v>
      </c>
      <c r="C580" s="66">
        <v>1.0</v>
      </c>
      <c r="D580" s="66">
        <v>0.0</v>
      </c>
      <c r="F580" s="66">
        <v>0.98</v>
      </c>
      <c r="G580" s="66">
        <v>0.446</v>
      </c>
      <c r="H580" s="66">
        <v>0.154</v>
      </c>
      <c r="I580" s="66">
        <v>0.067</v>
      </c>
      <c r="J580" s="66">
        <v>2.06</v>
      </c>
      <c r="K580" s="81">
        <f>AVERAGE(1.51,1.41,1.48,1.55)</f>
        <v>1.4875</v>
      </c>
      <c r="L580" s="82">
        <v>44704.0</v>
      </c>
    </row>
    <row r="581">
      <c r="A581" s="66" t="s">
        <v>57</v>
      </c>
      <c r="B581" s="66">
        <v>2345.0</v>
      </c>
      <c r="C581" s="66">
        <v>3.0</v>
      </c>
      <c r="D581" s="66">
        <v>1.0</v>
      </c>
      <c r="F581" s="66">
        <v>1.768</v>
      </c>
      <c r="G581" s="66">
        <v>0.972</v>
      </c>
      <c r="H581" s="66">
        <v>0.284</v>
      </c>
      <c r="I581" s="66">
        <v>0.147</v>
      </c>
      <c r="J581" s="66">
        <v>5.65</v>
      </c>
      <c r="K581" s="81">
        <f>AVERAGE(1.53,1.59,1.44,1.57)</f>
        <v>1.5325</v>
      </c>
      <c r="L581" s="82">
        <v>44704.0</v>
      </c>
    </row>
    <row r="582">
      <c r="A582" s="66" t="s">
        <v>179</v>
      </c>
      <c r="B582" s="66">
        <v>2369.0</v>
      </c>
      <c r="C582" s="66">
        <v>2.0</v>
      </c>
      <c r="D582" s="66">
        <v>0.0</v>
      </c>
      <c r="F582" s="66">
        <v>0.548</v>
      </c>
      <c r="G582" s="66">
        <v>0.302</v>
      </c>
      <c r="H582" s="66">
        <v>0.046</v>
      </c>
      <c r="I582" s="66">
        <v>0.026</v>
      </c>
      <c r="J582" s="66">
        <v>1.56</v>
      </c>
      <c r="K582" s="81">
        <f>AVERAGE(1.28,0.9,1.04,1.02)</f>
        <v>1.06</v>
      </c>
      <c r="L582" s="82">
        <v>44704.0</v>
      </c>
    </row>
    <row r="583">
      <c r="A583" s="66" t="s">
        <v>57</v>
      </c>
      <c r="B583" s="66">
        <v>2023.0</v>
      </c>
      <c r="C583" s="66">
        <v>3.0</v>
      </c>
      <c r="D583" s="66">
        <v>1.0</v>
      </c>
      <c r="F583" s="66">
        <v>0.735</v>
      </c>
      <c r="G583" s="66">
        <v>0.429</v>
      </c>
      <c r="H583" s="66">
        <v>0.176</v>
      </c>
      <c r="I583" s="66">
        <v>0.098</v>
      </c>
      <c r="J583" s="66">
        <v>3.51</v>
      </c>
      <c r="K583" s="81">
        <f>AVERAGE(1.88,1.83,1.84,1.99)</f>
        <v>1.885</v>
      </c>
      <c r="L583" s="82">
        <v>44704.0</v>
      </c>
    </row>
    <row r="584">
      <c r="A584" s="66" t="s">
        <v>179</v>
      </c>
      <c r="B584" s="66">
        <v>2024.0</v>
      </c>
      <c r="C584" s="66">
        <v>3.0</v>
      </c>
      <c r="D584" s="66">
        <v>0.0</v>
      </c>
      <c r="F584" s="66">
        <v>1.324</v>
      </c>
      <c r="G584" s="66">
        <v>0.627</v>
      </c>
      <c r="H584" s="66">
        <v>0.246</v>
      </c>
      <c r="I584" s="66">
        <v>0.115</v>
      </c>
      <c r="J584" s="66">
        <v>2.94</v>
      </c>
      <c r="K584" s="81">
        <f>AVERAGE(2.28,2.38,2.34,2.44)</f>
        <v>2.36</v>
      </c>
      <c r="L584" s="82">
        <v>44704.0</v>
      </c>
    </row>
    <row r="585">
      <c r="A585" s="66" t="s">
        <v>179</v>
      </c>
      <c r="B585" s="66">
        <v>2010.0</v>
      </c>
      <c r="C585" s="66">
        <v>2.0</v>
      </c>
      <c r="D585" s="66">
        <v>0.0</v>
      </c>
      <c r="F585" s="66">
        <v>1.462</v>
      </c>
      <c r="G585" s="66">
        <v>0.724</v>
      </c>
      <c r="H585" s="66">
        <v>0.249</v>
      </c>
      <c r="I585" s="66">
        <v>0.12</v>
      </c>
      <c r="J585" s="66">
        <v>2.47</v>
      </c>
      <c r="K585" s="81">
        <f>AVERAGE(1.99,1.95,1.74,2.04)</f>
        <v>1.93</v>
      </c>
      <c r="L585" s="82">
        <v>44704.0</v>
      </c>
    </row>
    <row r="586">
      <c r="A586" s="66" t="s">
        <v>179</v>
      </c>
      <c r="B586" s="66">
        <v>2369.0</v>
      </c>
      <c r="C586" s="66">
        <v>1.0</v>
      </c>
      <c r="D586" s="66">
        <v>0.0</v>
      </c>
      <c r="F586" s="66">
        <v>0.872</v>
      </c>
      <c r="G586" s="66">
        <v>0.479</v>
      </c>
      <c r="H586" s="66">
        <v>0.106</v>
      </c>
      <c r="I586" s="66">
        <v>0.06</v>
      </c>
      <c r="J586" s="66">
        <v>2.99</v>
      </c>
      <c r="K586" s="81">
        <f>AVERAGE(1.22,1.15,1.34,1.23)</f>
        <v>1.235</v>
      </c>
      <c r="L586" s="82">
        <v>44704.0</v>
      </c>
    </row>
    <row r="587">
      <c r="A587" s="66" t="s">
        <v>57</v>
      </c>
      <c r="B587" s="66">
        <v>2380.0</v>
      </c>
      <c r="C587" s="66">
        <v>1.0</v>
      </c>
      <c r="D587" s="66">
        <v>1.0</v>
      </c>
      <c r="F587" s="66">
        <v>1.426</v>
      </c>
      <c r="G587" s="66">
        <v>0.834</v>
      </c>
      <c r="H587" s="66">
        <v>0.381</v>
      </c>
      <c r="I587" s="66">
        <v>0.205</v>
      </c>
      <c r="J587" s="66">
        <v>6.0</v>
      </c>
      <c r="K587" s="81">
        <f>AVERAGE(1.69,1.63,1.73,1.65)</f>
        <v>1.675</v>
      </c>
      <c r="L587" s="82">
        <v>44704.0</v>
      </c>
    </row>
    <row r="588">
      <c r="A588" s="66" t="s">
        <v>57</v>
      </c>
      <c r="B588" s="66">
        <v>2352.0</v>
      </c>
      <c r="C588" s="66">
        <v>1.0</v>
      </c>
      <c r="D588" s="66">
        <v>1.0</v>
      </c>
      <c r="F588" s="66">
        <v>1.33</v>
      </c>
      <c r="G588" s="66">
        <v>0.835</v>
      </c>
      <c r="H588" s="66">
        <v>0.347</v>
      </c>
      <c r="I588" s="66">
        <v>0.216</v>
      </c>
      <c r="J588" s="66">
        <v>10.19</v>
      </c>
      <c r="K588" s="81">
        <f>AVERAGE(1.73,1.82,1.89,1.65)</f>
        <v>1.7725</v>
      </c>
      <c r="L588" s="82">
        <v>44704.0</v>
      </c>
    </row>
    <row r="589">
      <c r="A589" s="66" t="s">
        <v>57</v>
      </c>
      <c r="B589" s="66">
        <v>2301.0</v>
      </c>
      <c r="C589" s="66">
        <v>2.0</v>
      </c>
      <c r="D589" s="66">
        <v>1.0</v>
      </c>
      <c r="F589" s="66">
        <v>3.289</v>
      </c>
      <c r="G589" s="66">
        <v>1.878</v>
      </c>
      <c r="H589" s="66">
        <v>0.392</v>
      </c>
      <c r="I589" s="66">
        <v>0.228</v>
      </c>
      <c r="J589" s="66">
        <v>7.28</v>
      </c>
      <c r="K589" s="81">
        <f>AVERAGE(1.91,1.93,1.97,2.03)</f>
        <v>1.96</v>
      </c>
      <c r="L589" s="82">
        <v>44704.0</v>
      </c>
    </row>
    <row r="590">
      <c r="A590" s="66" t="s">
        <v>179</v>
      </c>
      <c r="B590" s="66">
        <v>2010.0</v>
      </c>
      <c r="C590" s="66">
        <v>3.0</v>
      </c>
      <c r="D590" s="66">
        <v>0.0</v>
      </c>
      <c r="F590" s="66">
        <v>1.215</v>
      </c>
      <c r="G590" s="66">
        <v>0.604</v>
      </c>
      <c r="H590" s="66">
        <v>0.15</v>
      </c>
      <c r="I590" s="66">
        <v>0.073</v>
      </c>
      <c r="J590" s="66">
        <v>2.37</v>
      </c>
      <c r="K590" s="81">
        <f>AVERAGE(1.48,1.64,1.53,1.64)</f>
        <v>1.5725</v>
      </c>
      <c r="L590" s="82">
        <v>44704.0</v>
      </c>
    </row>
    <row r="591">
      <c r="A591" s="66" t="s">
        <v>179</v>
      </c>
      <c r="B591" s="66">
        <v>2378.0</v>
      </c>
      <c r="C591" s="66">
        <v>3.0</v>
      </c>
      <c r="D591" s="66">
        <v>0.0</v>
      </c>
      <c r="F591" s="66">
        <v>0.6999</v>
      </c>
      <c r="G591" s="66">
        <v>0.327</v>
      </c>
      <c r="H591" s="66">
        <v>0.177</v>
      </c>
      <c r="I591" s="66">
        <v>0.082</v>
      </c>
      <c r="J591" s="66">
        <v>4.13</v>
      </c>
      <c r="K591" s="81">
        <f>AVERAGE(1.35,1.49,1.53,1.43)</f>
        <v>1.45</v>
      </c>
      <c r="L591" s="82">
        <v>44704.0</v>
      </c>
    </row>
    <row r="592">
      <c r="A592" s="66" t="s">
        <v>179</v>
      </c>
      <c r="B592" s="66">
        <v>2025.0</v>
      </c>
      <c r="C592" s="66">
        <v>2.0</v>
      </c>
      <c r="D592" s="66">
        <v>0.0</v>
      </c>
      <c r="F592" s="66">
        <v>1.019</v>
      </c>
      <c r="G592" s="66">
        <v>0.519</v>
      </c>
      <c r="H592" s="66">
        <v>0.149</v>
      </c>
      <c r="I592" s="66">
        <v>0.078</v>
      </c>
      <c r="J592" s="66">
        <v>2.95</v>
      </c>
      <c r="K592" s="81">
        <f>AVERAGE(1.6,1.31,1.33,1.42)</f>
        <v>1.415</v>
      </c>
      <c r="L592" s="82">
        <v>44704.0</v>
      </c>
    </row>
    <row r="593">
      <c r="A593" s="66" t="s">
        <v>179</v>
      </c>
      <c r="B593" s="66">
        <v>2346.0</v>
      </c>
      <c r="C593" s="66">
        <v>3.0</v>
      </c>
      <c r="D593" s="66">
        <v>0.0</v>
      </c>
      <c r="F593" s="66">
        <v>0.193</v>
      </c>
      <c r="G593" s="66">
        <v>0.093</v>
      </c>
      <c r="H593" s="66">
        <v>0.017</v>
      </c>
      <c r="I593" s="66">
        <v>0.008</v>
      </c>
      <c r="J593" s="66">
        <v>0.63</v>
      </c>
      <c r="K593" s="81">
        <f>AVERAGE(0.64,0.71,0.69,0.74)</f>
        <v>0.695</v>
      </c>
      <c r="L593" s="82">
        <v>44704.0</v>
      </c>
    </row>
    <row r="594">
      <c r="A594" s="66" t="s">
        <v>179</v>
      </c>
      <c r="B594" s="66">
        <v>2370.0</v>
      </c>
      <c r="C594" s="66">
        <v>2.0</v>
      </c>
      <c r="D594" s="66">
        <v>0.0</v>
      </c>
      <c r="F594" s="66">
        <v>0.594</v>
      </c>
      <c r="G594" s="66">
        <v>0.293</v>
      </c>
      <c r="H594" s="66">
        <v>0.056</v>
      </c>
      <c r="I594" s="66">
        <v>0.026</v>
      </c>
      <c r="J594" s="66">
        <v>1.19</v>
      </c>
      <c r="K594" s="81">
        <f>AVERAGE(0.89,0.97,0.99,1)</f>
        <v>0.9625</v>
      </c>
      <c r="L594" s="82">
        <v>44704.0</v>
      </c>
    </row>
    <row r="595">
      <c r="A595" s="66" t="s">
        <v>179</v>
      </c>
      <c r="B595" s="66">
        <v>2009.0</v>
      </c>
      <c r="C595" s="66">
        <v>2.0</v>
      </c>
      <c r="D595" s="66">
        <v>0.0</v>
      </c>
      <c r="F595" s="66">
        <v>0.648</v>
      </c>
      <c r="G595" s="66">
        <v>0.297</v>
      </c>
      <c r="H595" s="66">
        <v>0.054</v>
      </c>
      <c r="I595" s="66">
        <v>0.024</v>
      </c>
      <c r="J595" s="66">
        <v>0.95</v>
      </c>
      <c r="K595" s="81">
        <f>AVERAGE(1.11,1.17,1.03,1.1)</f>
        <v>1.1025</v>
      </c>
      <c r="L595" s="82">
        <v>44704.0</v>
      </c>
    </row>
    <row r="596">
      <c r="A596" s="66" t="s">
        <v>179</v>
      </c>
      <c r="B596" s="66">
        <v>2020.0</v>
      </c>
      <c r="C596" s="66">
        <v>3.0</v>
      </c>
      <c r="D596" s="66">
        <v>0.0</v>
      </c>
      <c r="F596" s="66">
        <v>0.644</v>
      </c>
      <c r="G596" s="66">
        <v>0.311</v>
      </c>
      <c r="H596" s="66">
        <v>0.151</v>
      </c>
      <c r="I596" s="66">
        <v>0.066</v>
      </c>
      <c r="J596" s="66">
        <v>2.69</v>
      </c>
      <c r="K596" s="81">
        <f>AVERAGE(1.28,1.32,1.28,1.32)</f>
        <v>1.3</v>
      </c>
      <c r="L596" s="82">
        <v>44704.0</v>
      </c>
    </row>
    <row r="597">
      <c r="A597" s="66" t="s">
        <v>57</v>
      </c>
      <c r="B597" s="66">
        <v>2345.0</v>
      </c>
      <c r="C597" s="66">
        <v>2.0</v>
      </c>
      <c r="D597" s="66">
        <v>1.0</v>
      </c>
      <c r="F597" s="66">
        <v>2.332</v>
      </c>
      <c r="G597" s="66">
        <v>1.352</v>
      </c>
      <c r="H597" s="66">
        <v>0.344</v>
      </c>
      <c r="I597" s="66">
        <v>0.191</v>
      </c>
      <c r="J597" s="66">
        <v>6.06</v>
      </c>
      <c r="K597" s="81">
        <f>AVERAGE(1.75,1.77,1.85,1.74)</f>
        <v>1.7775</v>
      </c>
      <c r="L597" s="82">
        <v>44704.0</v>
      </c>
    </row>
    <row r="598">
      <c r="A598" s="66" t="s">
        <v>179</v>
      </c>
      <c r="B598" s="66">
        <v>2371.0</v>
      </c>
      <c r="C598" s="66">
        <v>1.0</v>
      </c>
      <c r="D598" s="66">
        <v>0.0</v>
      </c>
      <c r="F598" s="66">
        <v>1.072</v>
      </c>
      <c r="G598" s="66">
        <v>0.459</v>
      </c>
      <c r="H598" s="66">
        <v>0.103</v>
      </c>
      <c r="I598" s="66">
        <v>0.042</v>
      </c>
      <c r="J598" s="66">
        <v>1.47</v>
      </c>
      <c r="K598" s="81">
        <f>AVERAGE(1.26,1.27,1.26,1.37)</f>
        <v>1.29</v>
      </c>
      <c r="L598" s="82">
        <v>44704.0</v>
      </c>
    </row>
    <row r="599">
      <c r="A599" s="66" t="s">
        <v>57</v>
      </c>
      <c r="B599" s="66">
        <v>2331.0</v>
      </c>
      <c r="C599" s="66">
        <v>3.0</v>
      </c>
      <c r="D599" s="66">
        <v>0.0</v>
      </c>
      <c r="E599" s="66" t="s">
        <v>180</v>
      </c>
      <c r="F599" s="66">
        <v>0.029</v>
      </c>
      <c r="G599" s="66">
        <v>0.015</v>
      </c>
      <c r="H599" s="66">
        <v>0.034</v>
      </c>
      <c r="I599" s="66">
        <v>0.016</v>
      </c>
      <c r="J599" s="66">
        <v>1.68</v>
      </c>
      <c r="K599" s="81">
        <f>AVERAGE(0.77,9.83,0.93,0.79)</f>
        <v>3.08</v>
      </c>
      <c r="L599" s="82">
        <v>44704.0</v>
      </c>
    </row>
    <row r="600">
      <c r="A600" s="66" t="s">
        <v>57</v>
      </c>
      <c r="B600" s="66">
        <v>2345.0</v>
      </c>
      <c r="C600" s="66">
        <v>1.0</v>
      </c>
      <c r="D600" s="66">
        <v>1.0</v>
      </c>
      <c r="F600" s="66">
        <v>1.619</v>
      </c>
      <c r="G600" s="66">
        <v>0.913</v>
      </c>
      <c r="H600" s="66">
        <v>0.508</v>
      </c>
      <c r="I600" s="66">
        <v>0.281</v>
      </c>
      <c r="J600" s="66">
        <v>7.61</v>
      </c>
      <c r="K600" s="81">
        <f>AVERAGE(1.07,1.1,1.11,1.03)</f>
        <v>1.0775</v>
      </c>
      <c r="L600" s="82">
        <v>44704.0</v>
      </c>
    </row>
    <row r="601">
      <c r="A601" s="66" t="s">
        <v>179</v>
      </c>
      <c r="B601" s="66">
        <v>2382.0</v>
      </c>
      <c r="C601" s="66">
        <v>1.0</v>
      </c>
      <c r="D601" s="66">
        <v>0.0</v>
      </c>
      <c r="F601" s="66">
        <v>0.878</v>
      </c>
      <c r="G601" s="66">
        <v>0.402</v>
      </c>
      <c r="H601" s="66">
        <v>0.056</v>
      </c>
      <c r="I601" s="66">
        <v>0.026</v>
      </c>
      <c r="J601" s="66">
        <v>1.25</v>
      </c>
      <c r="K601" s="81">
        <f>AVERAGE(1.57,1.33,1.63,1.43)</f>
        <v>1.49</v>
      </c>
      <c r="L601" s="82">
        <v>44704.0</v>
      </c>
    </row>
    <row r="602">
      <c r="A602" s="66" t="s">
        <v>57</v>
      </c>
      <c r="B602" s="66">
        <v>2023.0</v>
      </c>
      <c r="C602" s="66">
        <v>1.0</v>
      </c>
      <c r="D602" s="66">
        <v>1.0</v>
      </c>
      <c r="F602" s="66">
        <v>0.312</v>
      </c>
      <c r="G602" s="66">
        <v>0.178</v>
      </c>
      <c r="H602" s="66">
        <v>0.098</v>
      </c>
      <c r="I602" s="66">
        <v>0.054</v>
      </c>
      <c r="J602" s="66">
        <v>2.18</v>
      </c>
      <c r="K602" s="81">
        <f>AVERAGE(1.35,1.36,1.45,1.47)</f>
        <v>1.4075</v>
      </c>
      <c r="L602" s="82">
        <v>44704.0</v>
      </c>
    </row>
    <row r="603">
      <c r="A603" s="66" t="s">
        <v>179</v>
      </c>
      <c r="B603" s="66">
        <v>2378.0</v>
      </c>
      <c r="C603" s="66">
        <v>1.0</v>
      </c>
      <c r="D603" s="66">
        <v>0.0</v>
      </c>
      <c r="F603" s="66">
        <v>1.672</v>
      </c>
      <c r="G603" s="66">
        <v>0.784</v>
      </c>
      <c r="H603" s="66">
        <v>0.589</v>
      </c>
      <c r="I603" s="66">
        <v>0.28</v>
      </c>
      <c r="J603" s="66">
        <v>8.49</v>
      </c>
      <c r="K603" s="81">
        <f>AVERAGE(2.14,2.15,2.19,2.24)</f>
        <v>2.18</v>
      </c>
      <c r="L603" s="82">
        <v>44704.0</v>
      </c>
    </row>
    <row r="604">
      <c r="A604" s="66" t="s">
        <v>179</v>
      </c>
      <c r="B604" s="66">
        <v>2020.0</v>
      </c>
      <c r="C604" s="66">
        <v>1.0</v>
      </c>
      <c r="D604" s="66">
        <v>0.0</v>
      </c>
      <c r="F604" s="66">
        <v>0.37</v>
      </c>
      <c r="G604" s="66">
        <v>0.183</v>
      </c>
      <c r="H604" s="66">
        <v>0.06</v>
      </c>
      <c r="I604" s="66">
        <v>0.028</v>
      </c>
      <c r="J604" s="66">
        <v>1.31</v>
      </c>
      <c r="K604" s="81">
        <f>AVERAGE(1.03,1.05,1.07,1.1)</f>
        <v>1.0625</v>
      </c>
      <c r="L604" s="82">
        <v>44704.0</v>
      </c>
    </row>
    <row r="605">
      <c r="A605" s="66" t="s">
        <v>57</v>
      </c>
      <c r="B605" s="66">
        <v>2301.0</v>
      </c>
      <c r="C605" s="66">
        <v>1.0</v>
      </c>
      <c r="D605" s="66">
        <v>1.0</v>
      </c>
      <c r="F605" s="66">
        <v>2.939</v>
      </c>
      <c r="G605" s="66">
        <v>1.702</v>
      </c>
      <c r="H605" s="66">
        <v>0.303</v>
      </c>
      <c r="I605" s="66">
        <v>0.178</v>
      </c>
      <c r="J605" s="66">
        <v>7.15</v>
      </c>
      <c r="K605" s="81">
        <f>AVERAGE(1.81,1.74,1.88,1.88)</f>
        <v>1.8275</v>
      </c>
      <c r="L605" s="82">
        <v>44704.0</v>
      </c>
    </row>
    <row r="606">
      <c r="A606" s="66" t="s">
        <v>179</v>
      </c>
      <c r="B606" s="66">
        <v>2347.0</v>
      </c>
      <c r="C606" s="66">
        <v>1.0</v>
      </c>
      <c r="D606" s="66">
        <v>0.0</v>
      </c>
      <c r="F606" s="66">
        <v>0.829</v>
      </c>
      <c r="G606" s="66">
        <v>0.38</v>
      </c>
      <c r="H606" s="66">
        <v>0.088</v>
      </c>
      <c r="I606" s="66">
        <v>0.04</v>
      </c>
      <c r="J606" s="66">
        <v>1.57</v>
      </c>
      <c r="K606" s="81">
        <f>AVERAGE(1.04,1.07,1.09,1.24)</f>
        <v>1.11</v>
      </c>
      <c r="L606" s="82">
        <v>44704.0</v>
      </c>
    </row>
    <row r="607">
      <c r="A607" s="66" t="s">
        <v>179</v>
      </c>
      <c r="B607" s="66">
        <v>2011.0</v>
      </c>
      <c r="C607" s="66">
        <v>1.0</v>
      </c>
      <c r="D607" s="66">
        <v>0.0</v>
      </c>
      <c r="F607" s="66">
        <v>0.636</v>
      </c>
      <c r="G607" s="66">
        <v>0.336</v>
      </c>
      <c r="H607" s="66">
        <v>0.057</v>
      </c>
      <c r="I607" s="66">
        <v>0.029</v>
      </c>
      <c r="J607" s="66">
        <v>0.92</v>
      </c>
      <c r="K607" s="81">
        <f>AVERAGE(1.37,1.31,1.35,1.32)</f>
        <v>1.3375</v>
      </c>
      <c r="L607" s="82">
        <v>44704.0</v>
      </c>
    </row>
    <row r="608">
      <c r="A608" s="66" t="s">
        <v>57</v>
      </c>
      <c r="B608" s="66">
        <v>2331.0</v>
      </c>
      <c r="C608" s="66">
        <v>2.0</v>
      </c>
      <c r="D608" s="66">
        <v>1.0</v>
      </c>
      <c r="F608" s="66">
        <v>1.234</v>
      </c>
      <c r="G608" s="66">
        <v>0.73</v>
      </c>
      <c r="H608" s="66">
        <v>0.253</v>
      </c>
      <c r="I608" s="66">
        <v>0.14</v>
      </c>
      <c r="J608" s="66">
        <v>5.14</v>
      </c>
      <c r="K608" s="81">
        <f>AVERAGE(1.73,1.8,1.7,1.73)</f>
        <v>1.74</v>
      </c>
      <c r="L608" s="82">
        <v>44704.0</v>
      </c>
    </row>
    <row r="609">
      <c r="A609" s="66" t="s">
        <v>179</v>
      </c>
      <c r="B609" s="66">
        <v>2347.0</v>
      </c>
      <c r="C609" s="66">
        <v>2.0</v>
      </c>
      <c r="D609" s="66">
        <v>0.0</v>
      </c>
      <c r="F609" s="66">
        <v>0.439</v>
      </c>
      <c r="G609" s="66">
        <v>0.2</v>
      </c>
      <c r="H609" s="66">
        <v>0.028</v>
      </c>
      <c r="I609" s="66">
        <v>0.013</v>
      </c>
      <c r="J609" s="66">
        <v>0.74</v>
      </c>
      <c r="K609" s="81">
        <f>AVERAGE(0.91,0.95,1.02,1.04)</f>
        <v>0.98</v>
      </c>
      <c r="L609" s="82">
        <v>44704.0</v>
      </c>
    </row>
    <row r="610">
      <c r="A610" s="66" t="s">
        <v>179</v>
      </c>
      <c r="B610" s="66">
        <v>2379.0</v>
      </c>
      <c r="C610" s="66">
        <v>3.0</v>
      </c>
      <c r="D610" s="66">
        <v>0.0</v>
      </c>
      <c r="F610" s="66">
        <v>0.744</v>
      </c>
      <c r="G610" s="66">
        <v>0.345</v>
      </c>
      <c r="H610" s="66">
        <v>0.026</v>
      </c>
      <c r="I610" s="66">
        <v>0.012</v>
      </c>
      <c r="J610" s="66">
        <v>0.77</v>
      </c>
      <c r="K610" s="81">
        <f>AVERAGE(1.4,1.48,1.38,1.25)</f>
        <v>1.3775</v>
      </c>
      <c r="L610" s="82">
        <v>44704.0</v>
      </c>
    </row>
    <row r="611">
      <c r="A611" s="66" t="s">
        <v>57</v>
      </c>
      <c r="B611" s="66">
        <v>2023.0</v>
      </c>
      <c r="C611" s="66">
        <v>2.0</v>
      </c>
      <c r="D611" s="66">
        <v>0.0</v>
      </c>
      <c r="F611" s="66">
        <v>1.826</v>
      </c>
      <c r="G611" s="66">
        <v>0.953</v>
      </c>
      <c r="H611" s="66">
        <v>0.239</v>
      </c>
      <c r="I611" s="66">
        <v>0.116</v>
      </c>
      <c r="J611" s="66">
        <v>3.15</v>
      </c>
      <c r="K611" s="81">
        <f>AVERAGE(1.63,1.66,1.67,1.73)</f>
        <v>1.6725</v>
      </c>
      <c r="L611" s="82">
        <v>44704.0</v>
      </c>
    </row>
    <row r="612">
      <c r="A612" s="66" t="s">
        <v>179</v>
      </c>
      <c r="B612" s="66">
        <v>2381.0</v>
      </c>
      <c r="C612" s="66">
        <v>1.0</v>
      </c>
      <c r="D612" s="66">
        <v>0.0</v>
      </c>
      <c r="F612" s="66">
        <v>0.945</v>
      </c>
      <c r="G612" s="66">
        <v>0.455</v>
      </c>
      <c r="H612" s="66">
        <v>0.077</v>
      </c>
      <c r="I612" s="66">
        <v>0.037</v>
      </c>
      <c r="J612" s="66">
        <v>1.07</v>
      </c>
      <c r="K612" s="81">
        <f>AVERAGE(1.35,1.25,1.22,1.3)</f>
        <v>1.28</v>
      </c>
      <c r="L612" s="82">
        <v>44704.0</v>
      </c>
    </row>
    <row r="613">
      <c r="A613" s="66" t="s">
        <v>57</v>
      </c>
      <c r="B613" s="66">
        <v>2380.0</v>
      </c>
      <c r="C613" s="66">
        <v>3.0</v>
      </c>
      <c r="D613" s="66">
        <v>1.0</v>
      </c>
      <c r="F613" s="66">
        <v>1.316</v>
      </c>
      <c r="G613" s="66">
        <v>0.785</v>
      </c>
      <c r="H613" s="66">
        <v>0.44</v>
      </c>
      <c r="I613" s="66">
        <v>0.243</v>
      </c>
      <c r="J613" s="66">
        <v>6.57</v>
      </c>
      <c r="K613" s="81">
        <f>AVERAGE(1.81,1.79,1.76,1.79)</f>
        <v>1.7875</v>
      </c>
      <c r="L613" s="82">
        <v>44704.0</v>
      </c>
    </row>
    <row r="614">
      <c r="A614" s="66" t="s">
        <v>179</v>
      </c>
      <c r="B614" s="66">
        <v>2024.0</v>
      </c>
      <c r="C614" s="66">
        <v>2.0</v>
      </c>
      <c r="D614" s="66">
        <v>0.0</v>
      </c>
      <c r="F614" s="66">
        <v>1.431</v>
      </c>
      <c r="G614" s="66">
        <v>0.668</v>
      </c>
      <c r="H614" s="66">
        <v>0.245</v>
      </c>
      <c r="I614" s="66">
        <v>0.115</v>
      </c>
      <c r="J614" s="66">
        <v>2.67</v>
      </c>
      <c r="K614" s="81">
        <f>AVERAGE(1.85,1.89,1.9,2.01)</f>
        <v>1.9125</v>
      </c>
      <c r="L614" s="82">
        <v>44704.0</v>
      </c>
    </row>
    <row r="615">
      <c r="A615" s="66" t="s">
        <v>57</v>
      </c>
      <c r="B615" s="66">
        <v>2352.0</v>
      </c>
      <c r="C615" s="66">
        <v>3.0</v>
      </c>
      <c r="D615" s="66">
        <v>1.0</v>
      </c>
      <c r="F615" s="66">
        <v>1.747</v>
      </c>
      <c r="G615" s="66">
        <v>1.1</v>
      </c>
      <c r="H615" s="66">
        <v>0.735</v>
      </c>
      <c r="I615" s="66">
        <v>0.452</v>
      </c>
      <c r="J615" s="66">
        <v>15.7</v>
      </c>
      <c r="K615" s="81">
        <f>AVERAGE(2.19,2.04,2.09,2)</f>
        <v>2.08</v>
      </c>
      <c r="L615" s="82">
        <v>44704.0</v>
      </c>
    </row>
    <row r="616">
      <c r="A616" s="66" t="s">
        <v>57</v>
      </c>
      <c r="B616" s="66">
        <v>2331.0</v>
      </c>
      <c r="C616" s="66">
        <v>2.0</v>
      </c>
      <c r="D616" s="66">
        <v>0.0</v>
      </c>
      <c r="F616" s="66">
        <v>0.429</v>
      </c>
      <c r="G616" s="66">
        <v>0.23</v>
      </c>
      <c r="H616" s="66">
        <v>0.065</v>
      </c>
      <c r="I616" s="66">
        <v>0.031</v>
      </c>
      <c r="J616" s="66">
        <v>2.19</v>
      </c>
      <c r="K616" s="81">
        <f>AVERAGE(1.09,1.07,1.1,1.08)</f>
        <v>1.085</v>
      </c>
      <c r="L616" s="82">
        <v>44704.0</v>
      </c>
    </row>
    <row r="617">
      <c r="A617" s="66" t="s">
        <v>179</v>
      </c>
      <c r="B617" s="66">
        <v>2375.0</v>
      </c>
      <c r="C617" s="66">
        <v>2.0</v>
      </c>
      <c r="D617" s="66">
        <v>0.0</v>
      </c>
      <c r="F617" s="66">
        <v>0.962</v>
      </c>
      <c r="G617" s="66">
        <v>0.464</v>
      </c>
      <c r="H617" s="66">
        <v>0.135</v>
      </c>
      <c r="I617" s="66">
        <v>0.064</v>
      </c>
      <c r="J617" s="66">
        <v>1.86</v>
      </c>
      <c r="K617" s="81">
        <f>AVERAGE(1.54,1.56,1.58,1.49)</f>
        <v>1.5425</v>
      </c>
      <c r="L617" s="82">
        <v>44704.0</v>
      </c>
    </row>
    <row r="618">
      <c r="A618" s="66" t="s">
        <v>179</v>
      </c>
      <c r="B618" s="66">
        <v>2379.0</v>
      </c>
      <c r="C618" s="66">
        <v>2.0</v>
      </c>
      <c r="D618" s="66">
        <v>0.0</v>
      </c>
      <c r="F618" s="66">
        <v>0.391</v>
      </c>
      <c r="G618" s="66">
        <v>0.184</v>
      </c>
      <c r="H618" s="66">
        <v>0.027</v>
      </c>
      <c r="I618" s="66">
        <v>0.013</v>
      </c>
      <c r="J618" s="66">
        <v>0.89</v>
      </c>
      <c r="K618" s="81">
        <f>AVERAGE(1.24,1.25,1.26,1.32)</f>
        <v>1.2675</v>
      </c>
      <c r="L618" s="82">
        <v>44704.0</v>
      </c>
    </row>
    <row r="619">
      <c r="A619" s="66" t="s">
        <v>179</v>
      </c>
      <c r="B619" s="66">
        <v>2370.0</v>
      </c>
      <c r="C619" s="66">
        <v>1.0</v>
      </c>
      <c r="D619" s="66">
        <v>0.0</v>
      </c>
      <c r="F619" s="66">
        <v>0.491</v>
      </c>
      <c r="G619" s="66">
        <v>0.245</v>
      </c>
      <c r="H619" s="66">
        <v>0.069</v>
      </c>
      <c r="I619" s="66">
        <v>0.032</v>
      </c>
      <c r="J619" s="66">
        <v>1.41</v>
      </c>
      <c r="K619" s="81">
        <f>AVERAGE(0.8,0.85,0.95,0.87)</f>
        <v>0.8675</v>
      </c>
      <c r="L619" s="82">
        <v>44704.0</v>
      </c>
    </row>
    <row r="620">
      <c r="A620" s="66" t="s">
        <v>57</v>
      </c>
      <c r="B620" s="66">
        <v>2380.0</v>
      </c>
      <c r="C620" s="66">
        <v>2.0</v>
      </c>
      <c r="D620" s="66">
        <v>1.0</v>
      </c>
      <c r="F620" s="66">
        <v>1.729</v>
      </c>
      <c r="G620" s="66">
        <v>1.007</v>
      </c>
      <c r="H620" s="66">
        <v>0.409</v>
      </c>
      <c r="I620" s="66">
        <v>0.226</v>
      </c>
      <c r="J620" s="66">
        <v>6.9</v>
      </c>
      <c r="K620" s="81">
        <f>AVERAGE(1.55,1.44,1.95,1.49)</f>
        <v>1.6075</v>
      </c>
      <c r="L620" s="82">
        <v>44704.0</v>
      </c>
    </row>
    <row r="621">
      <c r="A621" s="66" t="s">
        <v>179</v>
      </c>
      <c r="B621" s="66">
        <v>2369.0</v>
      </c>
      <c r="C621" s="66">
        <v>3.0</v>
      </c>
      <c r="D621" s="66">
        <v>0.0</v>
      </c>
      <c r="F621" s="66">
        <v>0.441</v>
      </c>
      <c r="G621" s="66">
        <v>0.244</v>
      </c>
      <c r="H621" s="66">
        <v>0.031</v>
      </c>
      <c r="I621" s="66">
        <v>0.018</v>
      </c>
      <c r="J621" s="66">
        <v>1.17</v>
      </c>
      <c r="K621" s="81">
        <f>AVERAGE(1.6,1.03,0.86,0.93)</f>
        <v>1.105</v>
      </c>
      <c r="L621" s="82">
        <v>44704.0</v>
      </c>
    </row>
    <row r="622">
      <c r="A622" s="66" t="s">
        <v>179</v>
      </c>
      <c r="B622" s="66">
        <v>2378.0</v>
      </c>
      <c r="C622" s="66">
        <v>2.0</v>
      </c>
      <c r="D622" s="66">
        <v>0.0</v>
      </c>
      <c r="F622" s="66">
        <v>0.81</v>
      </c>
      <c r="G622" s="66">
        <v>0.382</v>
      </c>
      <c r="H622" s="66">
        <v>0.327</v>
      </c>
      <c r="I622" s="66">
        <v>0.15</v>
      </c>
      <c r="J622" s="66">
        <v>5.89</v>
      </c>
      <c r="K622" s="81">
        <f>AVERAGE(1.75,1.65,1.77,1.53)</f>
        <v>1.675</v>
      </c>
      <c r="L622" s="82">
        <v>44704.0</v>
      </c>
    </row>
    <row r="623">
      <c r="A623" s="66" t="s">
        <v>179</v>
      </c>
      <c r="B623" s="66">
        <v>2371.0</v>
      </c>
      <c r="C623" s="66">
        <v>2.0</v>
      </c>
      <c r="D623" s="66">
        <v>0.0</v>
      </c>
      <c r="F623" s="66">
        <v>0.633</v>
      </c>
      <c r="G623" s="66">
        <v>0.294</v>
      </c>
      <c r="H623" s="66">
        <v>0.051</v>
      </c>
      <c r="I623" s="66">
        <v>0.023</v>
      </c>
      <c r="J623" s="66">
        <v>1.05</v>
      </c>
      <c r="K623" s="81">
        <f>AVERAGE(1.22,1.27,1.29,1.1)</f>
        <v>1.22</v>
      </c>
      <c r="L623" s="82">
        <v>44704.0</v>
      </c>
    </row>
    <row r="624">
      <c r="A624" s="66" t="s">
        <v>179</v>
      </c>
      <c r="B624" s="66">
        <v>2025.0</v>
      </c>
      <c r="C624" s="66">
        <v>1.0</v>
      </c>
      <c r="D624" s="66">
        <v>0.0</v>
      </c>
      <c r="F624" s="66">
        <v>0.726</v>
      </c>
      <c r="G624" s="66">
        <v>0.378</v>
      </c>
      <c r="H624" s="66">
        <v>0.111</v>
      </c>
      <c r="I624" s="66">
        <v>0.059</v>
      </c>
      <c r="J624" s="66">
        <v>2.4</v>
      </c>
      <c r="K624" s="81">
        <f>AVERAGE(1.29,1.31,1.34,1.37)</f>
        <v>1.3275</v>
      </c>
      <c r="L624" s="82">
        <v>44704.0</v>
      </c>
    </row>
    <row r="625">
      <c r="A625" s="66" t="s">
        <v>179</v>
      </c>
      <c r="B625" s="66">
        <v>2381.0</v>
      </c>
      <c r="C625" s="66">
        <v>2.0</v>
      </c>
      <c r="D625" s="66">
        <v>0.0</v>
      </c>
      <c r="F625" s="66">
        <v>0.82</v>
      </c>
      <c r="G625" s="66">
        <v>0.391</v>
      </c>
      <c r="H625" s="66">
        <v>0.094</v>
      </c>
      <c r="I625" s="66">
        <v>0.045</v>
      </c>
      <c r="J625" s="66">
        <v>1.11</v>
      </c>
      <c r="K625" s="81">
        <f>AVERAGE(1.29,1.39,1.25,1.25)</f>
        <v>1.295</v>
      </c>
      <c r="L625" s="82">
        <v>44704.0</v>
      </c>
    </row>
    <row r="626">
      <c r="A626" s="66" t="s">
        <v>179</v>
      </c>
      <c r="B626" s="66">
        <v>2009.0</v>
      </c>
      <c r="C626" s="66">
        <v>1.0</v>
      </c>
      <c r="D626" s="66">
        <v>0.0</v>
      </c>
      <c r="F626" s="66">
        <v>0.798</v>
      </c>
      <c r="G626" s="66">
        <v>0.363</v>
      </c>
      <c r="H626" s="66">
        <v>0.062</v>
      </c>
      <c r="I626" s="66">
        <v>0.027</v>
      </c>
      <c r="J626" s="66">
        <v>1.01</v>
      </c>
      <c r="K626" s="81">
        <f>AVERAGE(1.25,1.15,1.03,1.13)</f>
        <v>1.14</v>
      </c>
      <c r="L626" s="82">
        <v>44704.0</v>
      </c>
    </row>
    <row r="627">
      <c r="A627" s="66" t="s">
        <v>179</v>
      </c>
      <c r="B627" s="66">
        <v>2347.0</v>
      </c>
      <c r="C627" s="66">
        <v>3.0</v>
      </c>
      <c r="D627" s="66">
        <v>0.0</v>
      </c>
      <c r="F627" s="66">
        <v>0.557</v>
      </c>
      <c r="G627" s="66">
        <v>0.254</v>
      </c>
      <c r="H627" s="66">
        <v>0.044</v>
      </c>
      <c r="I627" s="66">
        <v>0.019</v>
      </c>
      <c r="J627" s="66">
        <v>0.82</v>
      </c>
      <c r="K627" s="81">
        <f>AVERAGE(0.83,0.84,0.85,0.84)</f>
        <v>0.84</v>
      </c>
      <c r="L627" s="82">
        <v>44704.0</v>
      </c>
    </row>
    <row r="628">
      <c r="A628" s="66" t="s">
        <v>179</v>
      </c>
      <c r="B628" s="66">
        <v>2346.0</v>
      </c>
      <c r="C628" s="66">
        <v>1.0</v>
      </c>
      <c r="D628" s="66">
        <v>0.0</v>
      </c>
      <c r="F628" s="66">
        <v>0.305</v>
      </c>
      <c r="G628" s="66">
        <v>0.155</v>
      </c>
      <c r="H628" s="66">
        <v>0.038</v>
      </c>
      <c r="I628" s="66">
        <v>0.017</v>
      </c>
      <c r="J628" s="66">
        <v>0.9</v>
      </c>
      <c r="K628" s="81">
        <f>AVERAGE(0.9,0.97,0.87,0.81)</f>
        <v>0.8875</v>
      </c>
      <c r="L628" s="82">
        <v>44704.0</v>
      </c>
    </row>
    <row r="629">
      <c r="A629" s="66" t="s">
        <v>57</v>
      </c>
      <c r="B629" s="66">
        <v>2301.0</v>
      </c>
      <c r="C629" s="66">
        <v>3.0</v>
      </c>
      <c r="D629" s="66">
        <v>1.0</v>
      </c>
      <c r="F629" s="66">
        <v>2.742</v>
      </c>
      <c r="G629" s="66">
        <v>1.582</v>
      </c>
      <c r="H629" s="66">
        <v>0.38</v>
      </c>
      <c r="I629" s="66">
        <v>0.217</v>
      </c>
      <c r="J629" s="66">
        <v>7.84</v>
      </c>
      <c r="K629" s="81">
        <f>AVERAGE(1.7,1.71,1.63,1.8)</f>
        <v>1.71</v>
      </c>
      <c r="L629" s="82">
        <v>44704.0</v>
      </c>
    </row>
    <row r="630">
      <c r="A630" s="66" t="s">
        <v>57</v>
      </c>
      <c r="B630" s="66">
        <v>2331.0</v>
      </c>
      <c r="C630" s="66">
        <v>3.0</v>
      </c>
      <c r="D630" s="66">
        <v>1.0</v>
      </c>
      <c r="F630" s="66">
        <v>1.548</v>
      </c>
      <c r="G630" s="66">
        <v>0.92</v>
      </c>
      <c r="H630" s="66">
        <v>0.466</v>
      </c>
      <c r="I630" s="66">
        <v>0.257</v>
      </c>
      <c r="J630" s="66">
        <v>7.75</v>
      </c>
      <c r="K630" s="81">
        <f>AVERAGE(2.28,2.28,2.23,2.29)</f>
        <v>2.27</v>
      </c>
      <c r="L630" s="82">
        <v>44704.0</v>
      </c>
    </row>
    <row r="631">
      <c r="A631" s="66" t="s">
        <v>179</v>
      </c>
      <c r="B631" s="66">
        <v>2379.0</v>
      </c>
      <c r="C631" s="66">
        <v>1.0</v>
      </c>
      <c r="D631" s="66">
        <v>0.0</v>
      </c>
      <c r="F631" s="66">
        <v>0.866</v>
      </c>
      <c r="G631" s="66">
        <v>0.4</v>
      </c>
      <c r="H631" s="66">
        <v>0.057</v>
      </c>
      <c r="I631" s="66">
        <v>0.026</v>
      </c>
      <c r="J631" s="66">
        <v>1.12</v>
      </c>
      <c r="K631" s="81">
        <f>AVERAGE(1.43,1.4,1.51,1.4)</f>
        <v>1.435</v>
      </c>
      <c r="L631" s="82">
        <v>44704.0</v>
      </c>
    </row>
    <row r="632">
      <c r="A632" s="66" t="s">
        <v>179</v>
      </c>
      <c r="B632" s="66">
        <v>2381.0</v>
      </c>
      <c r="C632" s="66">
        <v>3.0</v>
      </c>
      <c r="D632" s="66">
        <v>0.0</v>
      </c>
      <c r="F632" s="66">
        <v>0.951</v>
      </c>
      <c r="G632" s="66">
        <v>0.471</v>
      </c>
      <c r="H632" s="66">
        <v>0.059</v>
      </c>
      <c r="I632" s="66">
        <v>0.029</v>
      </c>
      <c r="J632" s="66">
        <v>0.8</v>
      </c>
      <c r="K632" s="81">
        <f>AVERAGE(1.42,1.44,1.58,1.58)</f>
        <v>1.505</v>
      </c>
      <c r="L632" s="82">
        <v>44704.0</v>
      </c>
    </row>
    <row r="633">
      <c r="A633" s="66" t="s">
        <v>179</v>
      </c>
      <c r="B633" s="66">
        <v>2372.0</v>
      </c>
      <c r="C633" s="66">
        <v>1.0</v>
      </c>
      <c r="D633" s="66">
        <v>0.0</v>
      </c>
      <c r="F633" s="66">
        <v>0.958</v>
      </c>
      <c r="G633" s="66">
        <v>0.473</v>
      </c>
      <c r="H633" s="66">
        <v>0.118</v>
      </c>
      <c r="I633" s="66">
        <v>0.054</v>
      </c>
      <c r="J633" s="66">
        <v>1.93</v>
      </c>
      <c r="K633" s="81">
        <f>AVERAGE(1.4,1.49,1.28,1.31)</f>
        <v>1.37</v>
      </c>
      <c r="L633" s="82">
        <v>44704.0</v>
      </c>
    </row>
    <row r="634">
      <c r="A634" s="66" t="s">
        <v>179</v>
      </c>
      <c r="B634" s="66">
        <v>2382.0</v>
      </c>
      <c r="C634" s="66">
        <v>3.0</v>
      </c>
      <c r="D634" s="66">
        <v>0.0</v>
      </c>
      <c r="F634" s="66">
        <v>0.851</v>
      </c>
      <c r="G634" s="66">
        <v>0.438</v>
      </c>
      <c r="H634" s="66">
        <v>0.057</v>
      </c>
      <c r="I634" s="66">
        <v>0.029</v>
      </c>
      <c r="J634" s="66">
        <v>1.3</v>
      </c>
      <c r="K634" s="81">
        <f>AVERAGE(1.4,1.38,1.39,1.39)</f>
        <v>1.39</v>
      </c>
      <c r="L634" s="82">
        <v>44704.0</v>
      </c>
    </row>
    <row r="635">
      <c r="A635" s="66" t="s">
        <v>179</v>
      </c>
      <c r="B635" s="66">
        <v>2011.0</v>
      </c>
      <c r="C635" s="66">
        <v>3.0</v>
      </c>
      <c r="D635" s="66">
        <v>0.0</v>
      </c>
      <c r="F635" s="66">
        <v>0.56</v>
      </c>
      <c r="G635" s="66">
        <v>0.299</v>
      </c>
      <c r="H635" s="66">
        <v>0.052</v>
      </c>
      <c r="I635" s="66">
        <v>0.027</v>
      </c>
      <c r="J635" s="66">
        <v>0.96</v>
      </c>
      <c r="K635" s="81">
        <f>AVERAGE(1.07,1.09,0.99,1.27)</f>
        <v>1.105</v>
      </c>
      <c r="L635" s="82">
        <v>44704.0</v>
      </c>
    </row>
    <row r="636">
      <c r="A636" s="66" t="s">
        <v>179</v>
      </c>
      <c r="B636" s="66">
        <v>2011.0</v>
      </c>
      <c r="C636" s="66">
        <v>2.0</v>
      </c>
      <c r="D636" s="66">
        <v>0.0</v>
      </c>
      <c r="F636" s="66">
        <v>0.445</v>
      </c>
      <c r="G636" s="66">
        <v>0.235</v>
      </c>
      <c r="H636" s="66">
        <v>0.037</v>
      </c>
      <c r="I636" s="66">
        <v>0.019</v>
      </c>
      <c r="J636" s="66">
        <v>0.8</v>
      </c>
      <c r="K636" s="81">
        <f>AVERAGE(1.02,1.06,0.96,0.99)</f>
        <v>1.0075</v>
      </c>
      <c r="L636" s="82">
        <v>44704.0</v>
      </c>
    </row>
    <row r="637">
      <c r="A637" s="66" t="s">
        <v>179</v>
      </c>
      <c r="B637" s="66">
        <v>2020.0</v>
      </c>
      <c r="C637" s="66">
        <v>2.0</v>
      </c>
      <c r="D637" s="66">
        <v>0.0</v>
      </c>
      <c r="F637" s="66">
        <v>0.6399</v>
      </c>
      <c r="G637" s="66">
        <v>0.311</v>
      </c>
      <c r="H637" s="66">
        <v>0.051</v>
      </c>
      <c r="I637" s="66">
        <v>0.024</v>
      </c>
      <c r="J637" s="66">
        <v>1.05</v>
      </c>
      <c r="K637" s="81">
        <f>AVERAGE(1.02,1.09,1.09,1.13)</f>
        <v>1.0825</v>
      </c>
      <c r="L637" s="82">
        <v>44704.0</v>
      </c>
    </row>
    <row r="638">
      <c r="A638" s="66" t="s">
        <v>179</v>
      </c>
      <c r="B638" s="66">
        <v>2024.0</v>
      </c>
      <c r="C638" s="66">
        <v>1.0</v>
      </c>
      <c r="D638" s="66">
        <v>0.0</v>
      </c>
      <c r="F638" s="66">
        <v>1.272</v>
      </c>
      <c r="G638" s="66">
        <v>0.583</v>
      </c>
      <c r="H638" s="66">
        <v>0.187</v>
      </c>
      <c r="I638" s="66">
        <v>0.086</v>
      </c>
      <c r="J638" s="66">
        <v>2.11</v>
      </c>
      <c r="K638" s="81">
        <f>AVERAGE(1.75,1.6,1.91,1.84)</f>
        <v>1.775</v>
      </c>
      <c r="L638" s="82">
        <v>44704.0</v>
      </c>
    </row>
    <row r="639">
      <c r="A639" s="66" t="s">
        <v>179</v>
      </c>
      <c r="B639" s="66">
        <v>2372.0</v>
      </c>
      <c r="C639" s="66">
        <v>3.0</v>
      </c>
      <c r="D639" s="66">
        <v>0.0</v>
      </c>
      <c r="F639" s="66">
        <v>0.782</v>
      </c>
      <c r="G639" s="66">
        <v>0.388</v>
      </c>
      <c r="H639" s="66">
        <v>0.09</v>
      </c>
      <c r="I639" s="66">
        <v>0.04</v>
      </c>
      <c r="J639" s="66">
        <v>1.28</v>
      </c>
      <c r="K639" s="81">
        <f>AVERAGE(1.27,1.09,1.22,1.32)</f>
        <v>1.225</v>
      </c>
      <c r="L639" s="82">
        <v>44704.0</v>
      </c>
    </row>
    <row r="640">
      <c r="A640" s="66" t="s">
        <v>179</v>
      </c>
      <c r="B640" s="66">
        <v>2372.0</v>
      </c>
      <c r="C640" s="66">
        <v>2.0</v>
      </c>
      <c r="D640" s="66">
        <v>0.0</v>
      </c>
      <c r="F640" s="66">
        <v>1.269</v>
      </c>
      <c r="G640" s="66">
        <v>0.622</v>
      </c>
      <c r="H640" s="66">
        <v>0.122</v>
      </c>
      <c r="I640" s="66">
        <v>0.054</v>
      </c>
      <c r="J640" s="66">
        <v>1.51</v>
      </c>
      <c r="K640" s="81">
        <f>AVERAGE(1.56,1.66,1.64,1.66)</f>
        <v>1.63</v>
      </c>
      <c r="L640" s="82">
        <v>44704.0</v>
      </c>
    </row>
    <row r="641">
      <c r="A641" s="66" t="s">
        <v>179</v>
      </c>
      <c r="B641" s="66">
        <v>2025.0</v>
      </c>
      <c r="C641" s="66">
        <v>3.0</v>
      </c>
      <c r="D641" s="66">
        <v>0.0</v>
      </c>
      <c r="F641" s="66">
        <v>0.63</v>
      </c>
      <c r="G641" s="66">
        <v>0.324</v>
      </c>
      <c r="H641" s="66">
        <v>0.137</v>
      </c>
      <c r="I641" s="66">
        <v>0.073</v>
      </c>
      <c r="J641" s="66">
        <v>3.94</v>
      </c>
      <c r="K641" s="81">
        <f>AVERAGE(1.29,1.33,1.37,1.29)</f>
        <v>1.32</v>
      </c>
      <c r="L641" s="82">
        <v>44704.0</v>
      </c>
    </row>
    <row r="642">
      <c r="A642" s="66" t="s">
        <v>179</v>
      </c>
      <c r="B642" s="66">
        <v>2370.0</v>
      </c>
      <c r="C642" s="66">
        <v>3.0</v>
      </c>
      <c r="D642" s="66">
        <v>0.0</v>
      </c>
      <c r="F642" s="66">
        <v>0.493</v>
      </c>
      <c r="G642" s="66">
        <v>0.246</v>
      </c>
      <c r="H642" s="66">
        <v>0.067</v>
      </c>
      <c r="I642" s="66">
        <v>0.032</v>
      </c>
      <c r="J642" s="66">
        <v>1.45</v>
      </c>
      <c r="K642" s="81">
        <f>AVERAGE(1.04,1.09,0.96,0.86)</f>
        <v>0.9875</v>
      </c>
      <c r="L642" s="82">
        <v>44704.0</v>
      </c>
    </row>
    <row r="643">
      <c r="A643" s="66" t="s">
        <v>57</v>
      </c>
      <c r="B643" s="66">
        <v>2023.0</v>
      </c>
      <c r="C643" s="66">
        <v>1.0</v>
      </c>
      <c r="D643" s="66">
        <v>0.0</v>
      </c>
      <c r="F643" s="66">
        <v>2.613</v>
      </c>
      <c r="G643" s="66">
        <v>1.386</v>
      </c>
      <c r="H643" s="66">
        <v>0.221</v>
      </c>
      <c r="I643" s="66">
        <v>0.116</v>
      </c>
      <c r="J643" s="66">
        <v>4.34</v>
      </c>
      <c r="K643" s="81">
        <f>AVERAGE(1.5,1.63,1.67,1.57)</f>
        <v>1.5925</v>
      </c>
      <c r="L643" s="82">
        <v>44704.0</v>
      </c>
    </row>
    <row r="644">
      <c r="A644" s="66" t="s">
        <v>179</v>
      </c>
      <c r="B644" s="66">
        <v>2010.0</v>
      </c>
      <c r="C644" s="66">
        <v>1.0</v>
      </c>
      <c r="D644" s="66">
        <v>0.0</v>
      </c>
      <c r="F644" s="66">
        <v>0.895</v>
      </c>
      <c r="G644" s="66">
        <v>0.455</v>
      </c>
      <c r="H644" s="66">
        <v>0.158</v>
      </c>
      <c r="I644" s="66">
        <v>0.076</v>
      </c>
      <c r="J644" s="66">
        <v>1.94</v>
      </c>
      <c r="K644" s="81">
        <f>AVERAGE(1.83,1.74,1.53,1.83)</f>
        <v>1.7325</v>
      </c>
      <c r="L644" s="82">
        <v>44704.0</v>
      </c>
    </row>
    <row r="645">
      <c r="A645" s="66" t="s">
        <v>179</v>
      </c>
      <c r="B645" s="66">
        <v>2382.0</v>
      </c>
      <c r="C645" s="66">
        <v>2.0</v>
      </c>
      <c r="D645" s="66">
        <v>0.0</v>
      </c>
      <c r="F645" s="66">
        <v>1.062</v>
      </c>
      <c r="G645" s="66">
        <v>0.538</v>
      </c>
      <c r="H645" s="66">
        <v>0.114</v>
      </c>
      <c r="I645" s="66">
        <v>0.059</v>
      </c>
      <c r="J645" s="66">
        <v>2.2</v>
      </c>
      <c r="K645" s="81">
        <f>AVERAGE(1.53,1.41,1.3,1.64)</f>
        <v>1.47</v>
      </c>
      <c r="L645" s="82">
        <v>44704.0</v>
      </c>
    </row>
    <row r="646">
      <c r="A646" s="66" t="s">
        <v>57</v>
      </c>
      <c r="B646" s="66">
        <v>2331.0</v>
      </c>
      <c r="C646" s="66">
        <v>1.0</v>
      </c>
      <c r="D646" s="66">
        <v>1.0</v>
      </c>
      <c r="F646" s="66">
        <v>0.479</v>
      </c>
      <c r="G646" s="66">
        <v>0.288</v>
      </c>
      <c r="H646" s="66">
        <v>0.142</v>
      </c>
      <c r="I646" s="66">
        <v>0.078</v>
      </c>
      <c r="J646" s="66">
        <v>4.01</v>
      </c>
      <c r="K646" s="81">
        <f>AVERAGE(1.44,1.39,1.57,1.49)</f>
        <v>1.4725</v>
      </c>
      <c r="L646" s="82">
        <v>44704.0</v>
      </c>
    </row>
    <row r="647">
      <c r="A647" s="66" t="s">
        <v>57</v>
      </c>
      <c r="B647" s="66">
        <v>2023.0</v>
      </c>
      <c r="C647" s="66">
        <v>2.0</v>
      </c>
      <c r="D647" s="66">
        <v>1.0</v>
      </c>
      <c r="F647" s="66">
        <v>0.881</v>
      </c>
      <c r="G647" s="66">
        <v>0.512</v>
      </c>
      <c r="H647" s="66">
        <v>0.1896</v>
      </c>
      <c r="I647" s="66">
        <v>0.101</v>
      </c>
      <c r="J647" s="66">
        <v>3.54</v>
      </c>
      <c r="K647" s="81">
        <f>AVERAGE(1.65,1.69,1.73,1.76)</f>
        <v>1.7075</v>
      </c>
      <c r="L647" s="82">
        <v>44704.0</v>
      </c>
    </row>
    <row r="648">
      <c r="A648" s="66" t="s">
        <v>179</v>
      </c>
      <c r="B648" s="66">
        <v>2375.0</v>
      </c>
      <c r="C648" s="66">
        <v>3.0</v>
      </c>
      <c r="D648" s="66">
        <v>0.0</v>
      </c>
      <c r="F648" s="66">
        <v>0.534</v>
      </c>
      <c r="G648" s="66">
        <v>0.257</v>
      </c>
      <c r="H648" s="66">
        <v>0.091</v>
      </c>
      <c r="I648" s="66">
        <v>0.042</v>
      </c>
      <c r="J648" s="66">
        <v>1.86</v>
      </c>
      <c r="K648" s="81">
        <f>AVERAGE(1.17,1.19,1.2,1.22)</f>
        <v>1.195</v>
      </c>
      <c r="L648" s="82">
        <v>44704.0</v>
      </c>
    </row>
    <row r="649">
      <c r="A649" s="66" t="s">
        <v>57</v>
      </c>
      <c r="B649" s="66">
        <v>2023.0</v>
      </c>
      <c r="C649" s="66">
        <v>3.0</v>
      </c>
      <c r="D649" s="66">
        <v>0.0</v>
      </c>
      <c r="F649" s="66">
        <v>0.721</v>
      </c>
      <c r="G649" s="66">
        <v>0.389</v>
      </c>
      <c r="H649" s="66">
        <v>0.126</v>
      </c>
      <c r="I649" s="66">
        <v>0.067</v>
      </c>
      <c r="J649" s="66">
        <v>3.27</v>
      </c>
      <c r="K649" s="81">
        <f>AVERAGE(1.55,1.21,1.09,1.45)</f>
        <v>1.325</v>
      </c>
      <c r="L649" s="82">
        <v>44704.0</v>
      </c>
    </row>
    <row r="650">
      <c r="A650" s="66" t="s">
        <v>179</v>
      </c>
      <c r="B650" s="66">
        <v>2009.0</v>
      </c>
      <c r="C650" s="66">
        <v>3.0</v>
      </c>
      <c r="D650" s="66">
        <v>0.0</v>
      </c>
      <c r="F650" s="66">
        <v>0.426</v>
      </c>
      <c r="G650" s="66">
        <v>0.195</v>
      </c>
      <c r="H650" s="66">
        <v>0.06</v>
      </c>
      <c r="I650" s="66">
        <v>0.025</v>
      </c>
      <c r="J650" s="66">
        <v>1.15</v>
      </c>
      <c r="K650" s="81">
        <f>AVERAGE(1.24,1.25,1.3,1.3)</f>
        <v>1.2725</v>
      </c>
      <c r="L650" s="82">
        <v>44704.0</v>
      </c>
    </row>
    <row r="651">
      <c r="A651" s="66" t="s">
        <v>179</v>
      </c>
      <c r="B651" s="66">
        <v>2371.0</v>
      </c>
      <c r="C651" s="66">
        <v>3.0</v>
      </c>
      <c r="D651" s="66">
        <v>0.0</v>
      </c>
      <c r="F651" s="66">
        <v>0.535</v>
      </c>
      <c r="G651" s="66">
        <v>0.238</v>
      </c>
      <c r="H651" s="66">
        <v>0.053</v>
      </c>
      <c r="I651" s="66">
        <v>0.022</v>
      </c>
      <c r="J651" s="66">
        <v>1.24</v>
      </c>
      <c r="K651" s="81">
        <f>AVERAGE(1.27,1.09,1.07,1)</f>
        <v>1.1075</v>
      </c>
      <c r="L651" s="82">
        <v>44704.0</v>
      </c>
    </row>
    <row r="652">
      <c r="A652" s="66" t="s">
        <v>57</v>
      </c>
      <c r="B652" s="66">
        <v>2352.0</v>
      </c>
      <c r="C652" s="66">
        <v>2.0</v>
      </c>
      <c r="D652" s="66">
        <v>1.0</v>
      </c>
      <c r="F652" s="66">
        <v>1.563</v>
      </c>
      <c r="G652" s="66">
        <v>0.98</v>
      </c>
      <c r="H652" s="66">
        <v>0.557</v>
      </c>
      <c r="I652" s="66">
        <v>0.349</v>
      </c>
      <c r="J652" s="66">
        <v>13.0</v>
      </c>
      <c r="K652" s="81">
        <f>AVERAGE(1.81,1.83,1.81,1.91)</f>
        <v>1.84</v>
      </c>
      <c r="L652" s="82">
        <v>44704.0</v>
      </c>
    </row>
    <row r="653">
      <c r="A653" s="66" t="s">
        <v>57</v>
      </c>
      <c r="B653" s="66">
        <v>2331.0</v>
      </c>
      <c r="C653" s="66">
        <v>3.0</v>
      </c>
      <c r="D653" s="66">
        <v>0.0</v>
      </c>
      <c r="E653" s="66" t="s">
        <v>181</v>
      </c>
      <c r="F653" s="66">
        <v>0.031</v>
      </c>
      <c r="G653" s="66">
        <v>0.017</v>
      </c>
      <c r="H653" s="66">
        <v>0.025</v>
      </c>
      <c r="I653" s="66">
        <v>0.012</v>
      </c>
      <c r="J653" s="66">
        <v>1.14</v>
      </c>
      <c r="K653" s="81">
        <f>AVERAGE(1.03,1.03,1.11,1.1)</f>
        <v>1.0675</v>
      </c>
      <c r="L653" s="82">
        <v>44704.0</v>
      </c>
    </row>
    <row r="654">
      <c r="A654" s="66" t="s">
        <v>179</v>
      </c>
      <c r="B654" s="66">
        <v>2346.0</v>
      </c>
      <c r="C654" s="66">
        <v>2.0</v>
      </c>
      <c r="D654" s="66">
        <v>0.0</v>
      </c>
      <c r="F654" s="66">
        <v>0.335</v>
      </c>
      <c r="G654" s="66">
        <v>0.163</v>
      </c>
      <c r="H654" s="66">
        <v>0.02</v>
      </c>
      <c r="I654" s="66">
        <v>0.009</v>
      </c>
      <c r="J654" s="66">
        <v>0.67</v>
      </c>
      <c r="K654" s="81">
        <f>AVERAGE(0.94,0.77,0.8,0.89)</f>
        <v>0.85</v>
      </c>
      <c r="L654" s="82">
        <v>44704.0</v>
      </c>
    </row>
    <row r="655">
      <c r="A655" s="66" t="s">
        <v>57</v>
      </c>
      <c r="B655" s="66">
        <v>2354.0</v>
      </c>
      <c r="C655" s="66">
        <v>2.0</v>
      </c>
      <c r="D655" s="66">
        <v>1.0</v>
      </c>
      <c r="F655" s="66">
        <v>1.951</v>
      </c>
      <c r="G655" s="66">
        <v>1.03</v>
      </c>
      <c r="H655" s="66">
        <v>0.407</v>
      </c>
      <c r="I655" s="66">
        <v>0.202</v>
      </c>
      <c r="J655" s="66">
        <v>9.12</v>
      </c>
      <c r="K655" s="81">
        <f>AVERAGE(1.55,1.8,1.9,1.99)</f>
        <v>1.81</v>
      </c>
      <c r="L655" s="82">
        <v>44704.0</v>
      </c>
    </row>
    <row r="656">
      <c r="A656" s="66" t="s">
        <v>179</v>
      </c>
      <c r="B656" s="66">
        <v>2367.0</v>
      </c>
      <c r="C656" s="66">
        <v>2.0</v>
      </c>
      <c r="D656" s="66">
        <v>0.0</v>
      </c>
      <c r="F656" s="66">
        <v>0.791</v>
      </c>
      <c r="G656" s="66">
        <v>0.347</v>
      </c>
      <c r="H656" s="66">
        <v>0.076</v>
      </c>
      <c r="I656" s="66">
        <v>0.033</v>
      </c>
      <c r="J656" s="66">
        <v>1.92</v>
      </c>
      <c r="K656" s="81">
        <f>AVERAGE(1.28,0.89,1.1,1.09)</f>
        <v>1.09</v>
      </c>
      <c r="L656" s="82">
        <v>44704.0</v>
      </c>
    </row>
    <row r="657">
      <c r="A657" s="66" t="s">
        <v>179</v>
      </c>
      <c r="B657" s="66">
        <v>2026.0</v>
      </c>
      <c r="C657" s="66">
        <v>1.0</v>
      </c>
      <c r="D657" s="66">
        <v>0.0</v>
      </c>
      <c r="F657" s="66">
        <v>0.89</v>
      </c>
      <c r="G657" s="66">
        <v>0.431</v>
      </c>
      <c r="H657" s="66">
        <v>0.232</v>
      </c>
      <c r="I657" s="66">
        <v>0.118</v>
      </c>
      <c r="J657" s="66">
        <v>3.9</v>
      </c>
      <c r="K657" s="81">
        <f>AVERAGE(1.58,1.52,1.64,1.58)</f>
        <v>1.58</v>
      </c>
      <c r="L657" s="82">
        <v>44704.0</v>
      </c>
    </row>
    <row r="658">
      <c r="A658" s="66" t="s">
        <v>57</v>
      </c>
      <c r="B658" s="66">
        <v>2029.0</v>
      </c>
      <c r="C658" s="66">
        <v>1.0</v>
      </c>
      <c r="D658" s="66">
        <v>0.0</v>
      </c>
      <c r="F658" s="66">
        <v>1.671</v>
      </c>
      <c r="G658" s="66">
        <v>0.881</v>
      </c>
      <c r="H658" s="66">
        <v>0.064</v>
      </c>
      <c r="I658" s="66">
        <v>0.034</v>
      </c>
      <c r="J658" s="66">
        <v>2.1</v>
      </c>
      <c r="K658" s="81">
        <f>AVERAGE(1.07,1.18,1.15,1.17)</f>
        <v>1.1425</v>
      </c>
      <c r="L658" s="82">
        <v>44704.0</v>
      </c>
    </row>
    <row r="659">
      <c r="A659" s="66" t="s">
        <v>179</v>
      </c>
      <c r="B659" s="66">
        <v>2360.0</v>
      </c>
      <c r="C659" s="66">
        <v>3.0</v>
      </c>
      <c r="D659" s="66">
        <v>0.0</v>
      </c>
      <c r="F659" s="66">
        <v>1.242</v>
      </c>
      <c r="G659" s="66">
        <v>0.613</v>
      </c>
      <c r="H659" s="66">
        <v>0.199</v>
      </c>
      <c r="I659" s="66">
        <v>0.111</v>
      </c>
      <c r="J659" s="66">
        <v>4.26</v>
      </c>
      <c r="K659" s="81">
        <f>AVERAGE(1.67,1.59,1.46,1.63)</f>
        <v>1.5875</v>
      </c>
      <c r="L659" s="82">
        <v>44704.0</v>
      </c>
    </row>
    <row r="660">
      <c r="A660" s="66" t="s">
        <v>57</v>
      </c>
      <c r="B660" s="66">
        <v>2029.0</v>
      </c>
      <c r="C660" s="66">
        <v>2.0</v>
      </c>
      <c r="D660" s="66">
        <v>0.0</v>
      </c>
      <c r="F660" s="66">
        <v>1.236</v>
      </c>
      <c r="G660" s="66">
        <v>0.655</v>
      </c>
      <c r="H660" s="66">
        <v>0.056</v>
      </c>
      <c r="I660" s="66">
        <v>0.03</v>
      </c>
      <c r="J660" s="66">
        <v>1.71</v>
      </c>
      <c r="K660" s="81">
        <f>AVERAGE(1.24,1.26,1.28,1.17)</f>
        <v>1.2375</v>
      </c>
      <c r="L660" s="82">
        <v>44704.0</v>
      </c>
    </row>
    <row r="661">
      <c r="A661" s="66" t="s">
        <v>179</v>
      </c>
      <c r="B661" s="66">
        <v>2365.0</v>
      </c>
      <c r="C661" s="66">
        <v>3.0</v>
      </c>
      <c r="D661" s="66">
        <v>0.0</v>
      </c>
      <c r="F661" s="66">
        <v>0.687</v>
      </c>
      <c r="G661" s="66">
        <v>0.343</v>
      </c>
      <c r="H661" s="66">
        <v>0.048</v>
      </c>
      <c r="I661" s="66">
        <v>0.027</v>
      </c>
      <c r="J661" s="66">
        <v>1.22</v>
      </c>
      <c r="K661" s="81">
        <f>AVERAGE(1.18,1.06,1.02,1.03)</f>
        <v>1.0725</v>
      </c>
      <c r="L661" s="82">
        <v>44704.0</v>
      </c>
    </row>
    <row r="662">
      <c r="A662" s="66" t="s">
        <v>57</v>
      </c>
      <c r="B662" s="66">
        <v>2377.0</v>
      </c>
      <c r="C662" s="66">
        <v>1.0</v>
      </c>
      <c r="D662" s="66">
        <v>1.0</v>
      </c>
      <c r="F662" s="66">
        <v>0.655</v>
      </c>
      <c r="G662" s="66">
        <v>0.349</v>
      </c>
      <c r="H662" s="66">
        <v>0.128</v>
      </c>
      <c r="I662" s="66">
        <v>0.065</v>
      </c>
      <c r="J662" s="66">
        <v>3.58</v>
      </c>
      <c r="K662" s="81">
        <f>AVERAGE(1.25,1.25,1.33,1.35)</f>
        <v>1.295</v>
      </c>
      <c r="L662" s="82">
        <v>44704.0</v>
      </c>
    </row>
    <row r="663">
      <c r="A663" s="66" t="s">
        <v>179</v>
      </c>
      <c r="B663" s="66">
        <v>2301.0</v>
      </c>
      <c r="C663" s="66">
        <v>3.0</v>
      </c>
      <c r="D663" s="66">
        <v>0.0</v>
      </c>
      <c r="F663" s="66">
        <v>0.451</v>
      </c>
      <c r="G663" s="66">
        <v>0.231</v>
      </c>
      <c r="H663" s="66">
        <v>0.053</v>
      </c>
      <c r="I663" s="66">
        <v>0.029</v>
      </c>
      <c r="J663" s="66">
        <v>1.16</v>
      </c>
      <c r="K663" s="81">
        <f>AVERAGE(1.2,1.17,1.08,1.19)</f>
        <v>1.16</v>
      </c>
      <c r="L663" s="82">
        <v>44704.0</v>
      </c>
    </row>
    <row r="664">
      <c r="A664" s="66" t="s">
        <v>179</v>
      </c>
      <c r="B664" s="66">
        <v>2301.0</v>
      </c>
      <c r="C664" s="66">
        <v>2.0</v>
      </c>
      <c r="D664" s="66">
        <v>0.0</v>
      </c>
      <c r="F664" s="66">
        <v>1.123</v>
      </c>
      <c r="G664" s="66">
        <v>0.578</v>
      </c>
      <c r="H664" s="66">
        <v>0.148</v>
      </c>
      <c r="I664" s="66">
        <v>0.081</v>
      </c>
      <c r="J664" s="66">
        <v>2.19</v>
      </c>
      <c r="K664" s="81">
        <f>AVERAGE(1.73,1.63,1.57,1.77)</f>
        <v>1.675</v>
      </c>
      <c r="L664" s="82">
        <v>44704.0</v>
      </c>
    </row>
    <row r="665">
      <c r="A665" s="66" t="s">
        <v>179</v>
      </c>
      <c r="B665" s="66">
        <v>2365.0</v>
      </c>
      <c r="C665" s="66">
        <v>1.0</v>
      </c>
      <c r="D665" s="66">
        <v>0.0</v>
      </c>
      <c r="F665" s="66">
        <v>0.7</v>
      </c>
      <c r="G665" s="66">
        <v>0.35</v>
      </c>
      <c r="H665" s="66">
        <v>0.074</v>
      </c>
      <c r="I665" s="66">
        <v>0.041</v>
      </c>
      <c r="J665" s="66">
        <v>1.7</v>
      </c>
      <c r="K665" s="81">
        <f>AVERAGE(1.15,1.05,1.03,1.21)</f>
        <v>1.11</v>
      </c>
      <c r="L665" s="82">
        <v>44704.0</v>
      </c>
    </row>
    <row r="666">
      <c r="A666" s="66" t="s">
        <v>179</v>
      </c>
      <c r="B666" s="66">
        <v>2028.0</v>
      </c>
      <c r="C666" s="66">
        <v>1.0</v>
      </c>
      <c r="D666" s="66">
        <v>0.0</v>
      </c>
      <c r="F666" s="66">
        <v>0.701</v>
      </c>
      <c r="G666" s="66">
        <v>0.362</v>
      </c>
      <c r="H666" s="66">
        <v>0.042</v>
      </c>
      <c r="I666" s="66">
        <v>0.021</v>
      </c>
      <c r="J666" s="66">
        <v>1.12</v>
      </c>
      <c r="K666" s="81">
        <f>AVERAGE(0.91,1.1,1.07,1.04)</f>
        <v>1.03</v>
      </c>
      <c r="L666" s="82">
        <v>44704.0</v>
      </c>
    </row>
    <row r="667">
      <c r="A667" s="66" t="s">
        <v>179</v>
      </c>
      <c r="B667" s="66">
        <v>2360.0</v>
      </c>
      <c r="C667" s="66">
        <v>2.0</v>
      </c>
      <c r="D667" s="66">
        <v>0.0</v>
      </c>
      <c r="F667" s="66">
        <v>0.727</v>
      </c>
      <c r="G667" s="66">
        <v>0.36</v>
      </c>
      <c r="H667" s="66">
        <v>0.125</v>
      </c>
      <c r="I667" s="66">
        <v>0.068</v>
      </c>
      <c r="J667" s="66">
        <v>3.33</v>
      </c>
      <c r="K667" s="81">
        <f>AVERAGE(1.25,1.57,1.34,1.46)</f>
        <v>1.405</v>
      </c>
      <c r="L667" s="82">
        <v>44704.0</v>
      </c>
    </row>
    <row r="668">
      <c r="A668" s="66" t="s">
        <v>179</v>
      </c>
      <c r="B668" s="66">
        <v>2028.0</v>
      </c>
      <c r="C668" s="66">
        <v>2.0</v>
      </c>
      <c r="D668" s="66">
        <v>0.0</v>
      </c>
      <c r="F668" s="66">
        <v>0.549</v>
      </c>
      <c r="G668" s="66">
        <v>0.286</v>
      </c>
      <c r="H668" s="66">
        <v>0.031</v>
      </c>
      <c r="I668" s="66">
        <v>0.015</v>
      </c>
      <c r="J668" s="66">
        <v>0.72</v>
      </c>
      <c r="K668" s="81">
        <f>AVERAGE(1.14,1.23,1.15,1.15)</f>
        <v>1.1675</v>
      </c>
      <c r="L668" s="82">
        <v>44704.0</v>
      </c>
    </row>
    <row r="669">
      <c r="A669" s="66" t="s">
        <v>57</v>
      </c>
      <c r="B669" s="66">
        <v>2022.0</v>
      </c>
      <c r="C669" s="66">
        <v>2.0</v>
      </c>
      <c r="D669" s="66">
        <v>0.0</v>
      </c>
      <c r="F669" s="66">
        <v>3.765</v>
      </c>
      <c r="G669" s="66">
        <v>1.91</v>
      </c>
      <c r="H669" s="66">
        <v>0.338</v>
      </c>
      <c r="I669" s="66">
        <v>0.168</v>
      </c>
      <c r="J669" s="66">
        <v>4.49</v>
      </c>
      <c r="K669" s="81">
        <f>AVERAGE(1.75,1.69,1.74,1.81)</f>
        <v>1.7475</v>
      </c>
      <c r="L669" s="82">
        <v>44704.0</v>
      </c>
    </row>
    <row r="670">
      <c r="A670" s="66" t="s">
        <v>57</v>
      </c>
      <c r="B670" s="66">
        <v>2030.0</v>
      </c>
      <c r="C670" s="66">
        <v>2.0</v>
      </c>
      <c r="D670" s="66">
        <v>0.0</v>
      </c>
      <c r="F670" s="66">
        <v>0.758</v>
      </c>
      <c r="G670" s="66">
        <v>0.367</v>
      </c>
      <c r="H670" s="66">
        <v>0.101</v>
      </c>
      <c r="I670" s="66">
        <v>0.047</v>
      </c>
      <c r="J670" s="66">
        <v>3.35</v>
      </c>
      <c r="K670" s="81">
        <f>AVERAGE(1.13,1.14,1.05,1.07)</f>
        <v>1.0975</v>
      </c>
      <c r="L670" s="82">
        <v>44704.0</v>
      </c>
    </row>
    <row r="671">
      <c r="A671" s="66" t="s">
        <v>179</v>
      </c>
      <c r="B671" s="66">
        <v>2384.0</v>
      </c>
      <c r="C671" s="66">
        <v>1.0</v>
      </c>
      <c r="D671" s="66">
        <v>0.0</v>
      </c>
      <c r="F671" s="66">
        <v>0.439</v>
      </c>
      <c r="G671" s="66">
        <v>0.222</v>
      </c>
      <c r="H671" s="66">
        <v>0.042</v>
      </c>
      <c r="I671" s="66">
        <v>0.023</v>
      </c>
      <c r="J671" s="66">
        <v>1.14</v>
      </c>
      <c r="K671" s="81">
        <f>AVERAGE(1.01,1.08,1.22,1.24)</f>
        <v>1.1375</v>
      </c>
      <c r="L671" s="82">
        <v>44704.0</v>
      </c>
    </row>
    <row r="672">
      <c r="A672" s="66" t="s">
        <v>57</v>
      </c>
      <c r="B672" s="66">
        <v>2354.0</v>
      </c>
      <c r="C672" s="66">
        <v>1.0</v>
      </c>
      <c r="D672" s="66">
        <v>1.0</v>
      </c>
      <c r="F672" s="66">
        <v>3.454</v>
      </c>
      <c r="G672" s="66">
        <v>1.817</v>
      </c>
      <c r="H672" s="66">
        <v>0.768</v>
      </c>
      <c r="I672" s="66">
        <v>0.377</v>
      </c>
      <c r="J672" s="66">
        <v>11.74</v>
      </c>
      <c r="K672" s="81">
        <f>AVERAGE(2.26,2.17,2.56,2.51)</f>
        <v>2.375</v>
      </c>
      <c r="L672" s="82">
        <v>44704.0</v>
      </c>
    </row>
    <row r="673">
      <c r="A673" s="66" t="s">
        <v>57</v>
      </c>
      <c r="B673" s="66">
        <v>2029.0</v>
      </c>
      <c r="C673" s="66">
        <v>2.0</v>
      </c>
      <c r="D673" s="66">
        <v>1.0</v>
      </c>
      <c r="F673" s="66">
        <v>0.794</v>
      </c>
      <c r="G673" s="66">
        <v>0.469</v>
      </c>
      <c r="H673" s="66">
        <v>0.357</v>
      </c>
      <c r="I673" s="66">
        <v>0.196</v>
      </c>
      <c r="J673" s="66">
        <v>7.37</v>
      </c>
      <c r="K673" s="81">
        <f>AVERAGE(1.6,1.64,1.79,1.81)</f>
        <v>1.71</v>
      </c>
      <c r="L673" s="82">
        <v>44704.0</v>
      </c>
    </row>
    <row r="674">
      <c r="A674" s="66" t="s">
        <v>179</v>
      </c>
      <c r="B674" s="66">
        <v>2021.0</v>
      </c>
      <c r="C674" s="66">
        <v>1.0</v>
      </c>
      <c r="D674" s="66">
        <v>0.0</v>
      </c>
      <c r="F674" s="66">
        <v>0.793</v>
      </c>
      <c r="G674" s="66">
        <v>0.359</v>
      </c>
      <c r="H674" s="66">
        <v>0.057</v>
      </c>
      <c r="I674" s="66">
        <v>0.025</v>
      </c>
      <c r="J674" s="66">
        <v>0.95</v>
      </c>
      <c r="K674" s="81">
        <f>AVERAGE(1.11,1.19,1.23,1.2)</f>
        <v>1.1825</v>
      </c>
      <c r="L674" s="82">
        <v>44704.0</v>
      </c>
    </row>
    <row r="675">
      <c r="A675" s="66" t="s">
        <v>57</v>
      </c>
      <c r="B675" s="66">
        <v>2376.0</v>
      </c>
      <c r="C675" s="66">
        <v>3.0</v>
      </c>
      <c r="D675" s="66">
        <v>1.0</v>
      </c>
      <c r="F675" s="66">
        <v>2.791</v>
      </c>
      <c r="G675" s="66">
        <v>1.642</v>
      </c>
      <c r="H675" s="66">
        <v>0.446</v>
      </c>
      <c r="I675" s="66">
        <v>0.251</v>
      </c>
      <c r="J675" s="66">
        <v>7.68</v>
      </c>
      <c r="K675" s="81">
        <f>AVERAGE(1.87,2,2.1,2.11)</f>
        <v>2.02</v>
      </c>
      <c r="L675" s="82">
        <v>44704.0</v>
      </c>
    </row>
    <row r="676">
      <c r="A676" s="66" t="s">
        <v>57</v>
      </c>
      <c r="B676" s="66">
        <v>2377.0</v>
      </c>
      <c r="C676" s="66">
        <v>2.0</v>
      </c>
      <c r="D676" s="66">
        <v>1.0</v>
      </c>
      <c r="F676" s="66">
        <v>0.941</v>
      </c>
      <c r="G676" s="66">
        <v>0.495</v>
      </c>
      <c r="H676" s="66">
        <v>0.141</v>
      </c>
      <c r="I676" s="66">
        <v>0.068</v>
      </c>
      <c r="J676" s="66">
        <v>4.1</v>
      </c>
      <c r="K676" s="81">
        <f>AVERAGE(1.21,1.22,1.33,1.33)</f>
        <v>1.2725</v>
      </c>
      <c r="L676" s="82">
        <v>44704.0</v>
      </c>
    </row>
    <row r="677">
      <c r="A677" s="66" t="s">
        <v>57</v>
      </c>
      <c r="B677" s="66">
        <v>2376.0</v>
      </c>
      <c r="C677" s="66">
        <v>1.0</v>
      </c>
      <c r="D677" s="66">
        <v>1.0</v>
      </c>
      <c r="F677" s="66">
        <v>1.54</v>
      </c>
      <c r="G677" s="66">
        <v>0.86</v>
      </c>
      <c r="H677" s="66">
        <v>0.369</v>
      </c>
      <c r="I677" s="66">
        <v>0.205</v>
      </c>
      <c r="J677" s="66">
        <v>7.35</v>
      </c>
      <c r="K677" s="81">
        <f>AVERAGE(1.64,1.64,1.68,1.67)</f>
        <v>1.6575</v>
      </c>
      <c r="L677" s="82">
        <v>44704.0</v>
      </c>
    </row>
    <row r="678">
      <c r="A678" s="66" t="s">
        <v>57</v>
      </c>
      <c r="B678" s="66">
        <v>2030.0</v>
      </c>
      <c r="C678" s="66">
        <v>3.0</v>
      </c>
      <c r="D678" s="66">
        <v>1.0</v>
      </c>
      <c r="F678" s="66">
        <v>0.826</v>
      </c>
      <c r="G678" s="66">
        <v>0.476</v>
      </c>
      <c r="H678" s="66">
        <v>0.088</v>
      </c>
      <c r="I678" s="66">
        <v>0.047</v>
      </c>
      <c r="J678" s="66">
        <v>2.52</v>
      </c>
      <c r="K678" s="81">
        <f>AVERAGE(1.4,1.29,1.2,1.13)</f>
        <v>1.255</v>
      </c>
      <c r="L678" s="82">
        <v>44704.0</v>
      </c>
    </row>
    <row r="679">
      <c r="A679" s="66" t="s">
        <v>57</v>
      </c>
      <c r="B679" s="66">
        <v>2029.0</v>
      </c>
      <c r="C679" s="66">
        <v>3.0</v>
      </c>
      <c r="D679" s="66">
        <v>0.0</v>
      </c>
      <c r="F679" s="66">
        <v>0.902</v>
      </c>
      <c r="G679" s="66">
        <v>0.48</v>
      </c>
      <c r="H679" s="66">
        <v>0.044</v>
      </c>
      <c r="I679" s="66">
        <v>0.024</v>
      </c>
      <c r="J679" s="66">
        <v>1.69</v>
      </c>
      <c r="K679" s="81">
        <f>AVERAGE(1.07,1.03,1.05,1.17)</f>
        <v>1.08</v>
      </c>
      <c r="L679" s="82">
        <v>44704.0</v>
      </c>
    </row>
    <row r="680">
      <c r="A680" s="66" t="s">
        <v>57</v>
      </c>
      <c r="B680" s="66">
        <v>2029.0</v>
      </c>
      <c r="C680" s="66">
        <v>1.0</v>
      </c>
      <c r="D680" s="66">
        <v>1.0</v>
      </c>
      <c r="F680" s="66">
        <v>0.425</v>
      </c>
      <c r="G680" s="66">
        <v>0.245</v>
      </c>
      <c r="H680" s="66">
        <v>0.061</v>
      </c>
      <c r="I680" s="66">
        <v>0.034</v>
      </c>
      <c r="J680" s="66">
        <v>1.45</v>
      </c>
      <c r="K680" s="81">
        <f>AVERAGE(1.32,1.36,1.37,1.39)</f>
        <v>1.36</v>
      </c>
      <c r="L680" s="82">
        <v>44704.0</v>
      </c>
    </row>
    <row r="681">
      <c r="A681" s="66" t="s">
        <v>179</v>
      </c>
      <c r="B681" s="66">
        <v>2021.0</v>
      </c>
      <c r="C681" s="66">
        <v>2.0</v>
      </c>
      <c r="D681" s="66">
        <v>0.0</v>
      </c>
      <c r="F681" s="66">
        <v>0.992</v>
      </c>
      <c r="G681" s="66">
        <v>0.444</v>
      </c>
      <c r="H681" s="66">
        <v>0.11</v>
      </c>
      <c r="I681" s="66">
        <v>0.047</v>
      </c>
      <c r="J681" s="66">
        <v>1.42</v>
      </c>
      <c r="K681" s="81">
        <f>AVERAGE(1.42,1.43,1.48,1.24)</f>
        <v>1.3925</v>
      </c>
      <c r="L681" s="82">
        <v>44704.0</v>
      </c>
    </row>
    <row r="682">
      <c r="A682" s="66" t="s">
        <v>179</v>
      </c>
      <c r="B682" s="66">
        <v>2343.0</v>
      </c>
      <c r="C682" s="66">
        <v>1.0</v>
      </c>
      <c r="D682" s="66">
        <v>0.0</v>
      </c>
      <c r="F682" s="66">
        <v>1.79</v>
      </c>
      <c r="G682" s="66">
        <v>0.89</v>
      </c>
      <c r="H682" s="66">
        <v>0.304</v>
      </c>
      <c r="I682" s="66">
        <v>0.149</v>
      </c>
      <c r="J682" s="66">
        <v>4.2</v>
      </c>
      <c r="K682" s="81">
        <f>AVERAGE(1.74,1.58,1.66,2.1)</f>
        <v>1.77</v>
      </c>
      <c r="L682" s="82">
        <v>44704.0</v>
      </c>
    </row>
    <row r="683">
      <c r="A683" s="66" t="s">
        <v>179</v>
      </c>
      <c r="B683" s="66">
        <v>2365.0</v>
      </c>
      <c r="C683" s="66">
        <v>2.0</v>
      </c>
      <c r="D683" s="66">
        <v>0.0</v>
      </c>
      <c r="F683" s="66">
        <v>0.762</v>
      </c>
      <c r="G683" s="66">
        <v>0.375</v>
      </c>
      <c r="H683" s="66">
        <v>0.075</v>
      </c>
      <c r="I683" s="66">
        <v>0.041</v>
      </c>
      <c r="J683" s="66">
        <v>1.82</v>
      </c>
      <c r="K683" s="81">
        <f>AVERAGE(1.1,1.16,1.12,1.11)</f>
        <v>1.1225</v>
      </c>
      <c r="L683" s="82">
        <v>44704.0</v>
      </c>
    </row>
    <row r="684">
      <c r="A684" s="66" t="s">
        <v>179</v>
      </c>
      <c r="B684" s="66">
        <v>2384.0</v>
      </c>
      <c r="C684" s="66">
        <v>2.0</v>
      </c>
      <c r="D684" s="66">
        <v>0.0</v>
      </c>
      <c r="F684" s="66">
        <v>0.54</v>
      </c>
      <c r="G684" s="66">
        <v>0.267</v>
      </c>
      <c r="H684" s="66">
        <v>0.039</v>
      </c>
      <c r="I684" s="66">
        <v>0.021</v>
      </c>
      <c r="J684" s="66">
        <v>1.0</v>
      </c>
      <c r="K684" s="81">
        <f>AVERAGE(1.35,1.32,1.44,1.4)</f>
        <v>1.3775</v>
      </c>
      <c r="L684" s="82">
        <v>44704.0</v>
      </c>
    </row>
    <row r="685">
      <c r="A685" s="66" t="s">
        <v>179</v>
      </c>
      <c r="B685" s="66">
        <v>2026.0</v>
      </c>
      <c r="C685" s="66">
        <v>3.0</v>
      </c>
      <c r="D685" s="66">
        <v>0.0</v>
      </c>
      <c r="F685" s="66">
        <v>0.611</v>
      </c>
      <c r="G685" s="66">
        <v>0.297</v>
      </c>
      <c r="H685" s="66">
        <v>0.122</v>
      </c>
      <c r="I685" s="66">
        <v>0.062</v>
      </c>
      <c r="J685" s="66">
        <v>3.08</v>
      </c>
      <c r="K685" s="81">
        <f>AVERAGE(1.16,1.21,1.21,1.17)</f>
        <v>1.1875</v>
      </c>
      <c r="L685" s="82">
        <v>44704.0</v>
      </c>
    </row>
    <row r="686">
      <c r="A686" s="66" t="s">
        <v>179</v>
      </c>
      <c r="B686" s="66">
        <v>2367.0</v>
      </c>
      <c r="C686" s="66">
        <v>1.0</v>
      </c>
      <c r="D686" s="66">
        <v>0.0</v>
      </c>
      <c r="F686" s="66">
        <v>0.679</v>
      </c>
      <c r="G686" s="66">
        <v>0.293</v>
      </c>
      <c r="H686" s="66">
        <v>0.135</v>
      </c>
      <c r="I686" s="66">
        <v>0.06</v>
      </c>
      <c r="J686" s="66">
        <v>2.92</v>
      </c>
      <c r="K686" s="81">
        <f>AVERAGE(1.3,1.27,1.33,1.21)</f>
        <v>1.2775</v>
      </c>
      <c r="L686" s="82">
        <v>44704.0</v>
      </c>
    </row>
    <row r="687">
      <c r="A687" s="66" t="s">
        <v>179</v>
      </c>
      <c r="B687" s="66">
        <v>2383.0</v>
      </c>
      <c r="C687" s="66">
        <v>2.0</v>
      </c>
      <c r="D687" s="66">
        <v>0.0</v>
      </c>
      <c r="F687" s="66">
        <v>0.399</v>
      </c>
      <c r="G687" s="66">
        <v>0.209</v>
      </c>
      <c r="H687" s="66">
        <v>0.049</v>
      </c>
      <c r="I687" s="66">
        <v>0.028</v>
      </c>
      <c r="J687" s="66">
        <v>1.37</v>
      </c>
      <c r="K687" s="81">
        <f>AVERAGE(1.14,1.08,1.02,1.1)</f>
        <v>1.085</v>
      </c>
      <c r="L687" s="82">
        <v>44704.0</v>
      </c>
    </row>
    <row r="688">
      <c r="A688" s="66" t="s">
        <v>57</v>
      </c>
      <c r="B688" s="66">
        <v>2377.0</v>
      </c>
      <c r="C688" s="66">
        <v>3.0</v>
      </c>
      <c r="D688" s="66">
        <v>1.0</v>
      </c>
      <c r="F688" s="66">
        <v>0.34</v>
      </c>
      <c r="G688" s="66">
        <v>0.189</v>
      </c>
      <c r="H688" s="66">
        <v>0.165</v>
      </c>
      <c r="I688" s="66">
        <v>0.083</v>
      </c>
      <c r="J688" s="66">
        <v>5.65</v>
      </c>
      <c r="K688" s="81">
        <f>AVERAGE(1.28,1.42,1.44,1.45)</f>
        <v>1.3975</v>
      </c>
      <c r="L688" s="82">
        <v>44704.0</v>
      </c>
    </row>
    <row r="689">
      <c r="A689" s="66" t="s">
        <v>179</v>
      </c>
      <c r="B689" s="66">
        <v>2360.0</v>
      </c>
      <c r="C689" s="66">
        <v>1.0</v>
      </c>
      <c r="D689" s="66">
        <v>0.0</v>
      </c>
      <c r="F689" s="66">
        <v>1.233</v>
      </c>
      <c r="G689" s="66">
        <v>0.611</v>
      </c>
      <c r="H689" s="66">
        <v>0.198</v>
      </c>
      <c r="I689" s="66">
        <v>0.111</v>
      </c>
      <c r="J689" s="66">
        <v>4.36</v>
      </c>
      <c r="K689" s="81">
        <f>AVERAGE(1.48,1.55,1.64,1.77)</f>
        <v>1.61</v>
      </c>
      <c r="L689" s="82">
        <v>44704.0</v>
      </c>
    </row>
    <row r="690">
      <c r="A690" s="66" t="s">
        <v>179</v>
      </c>
      <c r="B690" s="66">
        <v>2301.0</v>
      </c>
      <c r="C690" s="66">
        <v>1.0</v>
      </c>
      <c r="D690" s="66">
        <v>0.0</v>
      </c>
      <c r="F690" s="66">
        <v>0.633</v>
      </c>
      <c r="G690" s="66">
        <v>0.329</v>
      </c>
      <c r="H690" s="66">
        <v>0.081</v>
      </c>
      <c r="I690" s="66">
        <v>0.045</v>
      </c>
      <c r="J690" s="66">
        <v>2.06</v>
      </c>
      <c r="K690" s="81">
        <f>AVERAGE(1.44,1.47,1.48,1.23)</f>
        <v>1.405</v>
      </c>
      <c r="L690" s="82">
        <v>44704.0</v>
      </c>
    </row>
    <row r="691">
      <c r="A691" s="66" t="s">
        <v>57</v>
      </c>
      <c r="B691" s="66">
        <v>2030.0</v>
      </c>
      <c r="C691" s="66">
        <v>1.0</v>
      </c>
      <c r="D691" s="66">
        <v>0.0</v>
      </c>
      <c r="F691" s="66">
        <v>1.417</v>
      </c>
      <c r="G691" s="66">
        <v>0.707</v>
      </c>
      <c r="H691" s="66">
        <v>0.141</v>
      </c>
      <c r="I691" s="66">
        <v>0.064</v>
      </c>
      <c r="J691" s="66">
        <v>3.63</v>
      </c>
      <c r="K691" s="81">
        <f>AVERAGE(1.08,1.14,1.22,1.19)</f>
        <v>1.1575</v>
      </c>
      <c r="L691" s="82">
        <v>44704.0</v>
      </c>
    </row>
    <row r="692">
      <c r="A692" s="66" t="s">
        <v>179</v>
      </c>
      <c r="B692" s="66">
        <v>2384.0</v>
      </c>
      <c r="C692" s="66">
        <v>3.0</v>
      </c>
      <c r="D692" s="66">
        <v>0.0</v>
      </c>
      <c r="F692" s="66">
        <v>0.396</v>
      </c>
      <c r="G692" s="66">
        <v>0.192</v>
      </c>
      <c r="H692" s="66">
        <v>0.026</v>
      </c>
      <c r="I692" s="66">
        <v>0.013</v>
      </c>
      <c r="J692" s="66">
        <v>0.8</v>
      </c>
      <c r="K692" s="81">
        <f>AVERAGE(1.14,1.12,1.19,0.99)</f>
        <v>1.11</v>
      </c>
      <c r="L692" s="82">
        <v>44704.0</v>
      </c>
    </row>
    <row r="693">
      <c r="A693" s="66" t="s">
        <v>179</v>
      </c>
      <c r="B693" s="66">
        <v>2021.0</v>
      </c>
      <c r="C693" s="66">
        <v>3.0</v>
      </c>
      <c r="D693" s="66">
        <v>0.0</v>
      </c>
      <c r="F693" s="66">
        <v>0.694</v>
      </c>
      <c r="G693" s="66">
        <v>0.313</v>
      </c>
      <c r="H693" s="66">
        <v>0.039</v>
      </c>
      <c r="I693" s="66">
        <v>0.017</v>
      </c>
      <c r="J693" s="66">
        <v>0.94</v>
      </c>
      <c r="K693" s="81">
        <f>AVERAGE(1.01,1.07,1.08,0.93)</f>
        <v>1.0225</v>
      </c>
      <c r="L693" s="82">
        <v>44704.0</v>
      </c>
    </row>
    <row r="694">
      <c r="A694" s="66" t="s">
        <v>179</v>
      </c>
      <c r="B694" s="66">
        <v>2027.0</v>
      </c>
      <c r="C694" s="66">
        <v>1.0</v>
      </c>
      <c r="D694" s="66">
        <v>0.0</v>
      </c>
      <c r="F694" s="66">
        <v>0.533</v>
      </c>
      <c r="G694" s="66">
        <v>0.262</v>
      </c>
      <c r="H694" s="66">
        <v>0.036</v>
      </c>
      <c r="I694" s="66">
        <v>0.018</v>
      </c>
      <c r="J694" s="66">
        <v>0.97</v>
      </c>
      <c r="K694" s="81">
        <f>AVERAGE(1.18,1.12,1.02,1.06)</f>
        <v>1.095</v>
      </c>
      <c r="L694" s="82">
        <v>44704.0</v>
      </c>
    </row>
    <row r="695">
      <c r="A695" s="66" t="s">
        <v>179</v>
      </c>
      <c r="B695" s="66">
        <v>2027.0</v>
      </c>
      <c r="C695" s="66">
        <v>3.0</v>
      </c>
      <c r="D695" s="66">
        <v>0.0</v>
      </c>
      <c r="F695" s="66">
        <v>0.34</v>
      </c>
      <c r="G695" s="66">
        <v>0.163</v>
      </c>
      <c r="H695" s="66">
        <v>0.031</v>
      </c>
      <c r="I695" s="66">
        <v>0.015</v>
      </c>
      <c r="J695" s="66">
        <v>0.85</v>
      </c>
      <c r="K695" s="81">
        <f>AVERAGE(1.21,1.21,1.23,1.21)</f>
        <v>1.215</v>
      </c>
      <c r="L695" s="82">
        <v>44704.0</v>
      </c>
    </row>
    <row r="696">
      <c r="A696" s="66" t="s">
        <v>57</v>
      </c>
      <c r="B696" s="66">
        <v>2022.0</v>
      </c>
      <c r="C696" s="66">
        <v>3.0</v>
      </c>
      <c r="D696" s="66">
        <v>1.0</v>
      </c>
      <c r="F696" s="66">
        <v>0.341</v>
      </c>
      <c r="G696" s="66">
        <v>0.192</v>
      </c>
      <c r="H696" s="66">
        <v>0.088</v>
      </c>
      <c r="I696" s="66">
        <v>0.048</v>
      </c>
      <c r="J696" s="66">
        <v>2.15</v>
      </c>
      <c r="K696" s="81">
        <f>AVERAGE(1.54,1.67,1.45,1.6)</f>
        <v>1.565</v>
      </c>
      <c r="L696" s="82">
        <v>44704.0</v>
      </c>
    </row>
    <row r="697">
      <c r="A697" s="66" t="s">
        <v>179</v>
      </c>
      <c r="B697" s="66">
        <v>2343.0</v>
      </c>
      <c r="C697" s="66">
        <v>2.0</v>
      </c>
      <c r="D697" s="66">
        <v>0.0</v>
      </c>
      <c r="F697" s="66">
        <v>0.892</v>
      </c>
      <c r="G697" s="66">
        <v>0.447</v>
      </c>
      <c r="H697" s="66">
        <v>0.119</v>
      </c>
      <c r="I697" s="66">
        <v>0.058</v>
      </c>
      <c r="J697" s="66">
        <v>2.22</v>
      </c>
      <c r="K697" s="81">
        <f>AVERAGE(1.26,1.23,1.26,1.51)</f>
        <v>1.315</v>
      </c>
      <c r="L697" s="82">
        <v>44704.0</v>
      </c>
    </row>
    <row r="698">
      <c r="A698" s="66" t="s">
        <v>179</v>
      </c>
      <c r="B698" s="66">
        <v>2383.0</v>
      </c>
      <c r="C698" s="66">
        <v>1.0</v>
      </c>
      <c r="D698" s="66">
        <v>0.0</v>
      </c>
      <c r="F698" s="66">
        <v>0.742</v>
      </c>
      <c r="G698" s="66">
        <v>0.382</v>
      </c>
      <c r="H698" s="66">
        <v>0.069</v>
      </c>
      <c r="I698" s="66">
        <v>0.038</v>
      </c>
      <c r="J698" s="66">
        <v>1.62</v>
      </c>
      <c r="K698" s="81">
        <f>AVERAGE(1.27,1.33,1.43,1.31)</f>
        <v>1.335</v>
      </c>
      <c r="L698" s="82">
        <v>44704.0</v>
      </c>
    </row>
    <row r="699">
      <c r="A699" s="66" t="s">
        <v>57</v>
      </c>
      <c r="B699" s="66">
        <v>2022.0</v>
      </c>
      <c r="C699" s="66">
        <v>3.0</v>
      </c>
      <c r="D699" s="66">
        <v>0.0</v>
      </c>
      <c r="F699" s="66">
        <v>2.493</v>
      </c>
      <c r="G699" s="66">
        <v>1.276</v>
      </c>
      <c r="H699" s="66">
        <v>0.18</v>
      </c>
      <c r="I699" s="66">
        <v>0.089</v>
      </c>
      <c r="J699" s="66">
        <v>2.78</v>
      </c>
      <c r="K699" s="81">
        <f>AVERAGE(1.61,1.48,1.4,1.52)</f>
        <v>1.5025</v>
      </c>
      <c r="L699" s="82">
        <v>44704.0</v>
      </c>
    </row>
    <row r="700">
      <c r="A700" s="66" t="s">
        <v>179</v>
      </c>
      <c r="B700" s="66">
        <v>2026.0</v>
      </c>
      <c r="C700" s="66">
        <v>2.0</v>
      </c>
      <c r="D700" s="66">
        <v>0.0</v>
      </c>
      <c r="F700" s="66">
        <v>0.984</v>
      </c>
      <c r="G700" s="66">
        <v>0.48</v>
      </c>
      <c r="H700" s="66">
        <v>0.148</v>
      </c>
      <c r="I700" s="66">
        <v>0.074</v>
      </c>
      <c r="J700" s="66">
        <v>2.73</v>
      </c>
      <c r="K700" s="81">
        <f>AVERAGE(1.42,1.55,1.3,1.55)</f>
        <v>1.455</v>
      </c>
      <c r="L700" s="82">
        <v>44704.0</v>
      </c>
    </row>
    <row r="701">
      <c r="A701" s="66" t="s">
        <v>179</v>
      </c>
      <c r="B701" s="66">
        <v>2028.0</v>
      </c>
      <c r="C701" s="66">
        <v>3.0</v>
      </c>
      <c r="D701" s="66">
        <v>0.0</v>
      </c>
      <c r="F701" s="66">
        <v>0.414</v>
      </c>
      <c r="G701" s="66">
        <v>0.201</v>
      </c>
      <c r="H701" s="66">
        <v>0.038</v>
      </c>
      <c r="I701" s="66">
        <v>0.018</v>
      </c>
      <c r="J701" s="66">
        <v>0.95</v>
      </c>
      <c r="K701" s="81">
        <f>AVERAGE(1.14,1.09,1.05,1.05)</f>
        <v>1.0825</v>
      </c>
      <c r="L701" s="82">
        <v>44704.0</v>
      </c>
    </row>
    <row r="702">
      <c r="A702" s="66" t="s">
        <v>179</v>
      </c>
      <c r="B702" s="66">
        <v>2027.0</v>
      </c>
      <c r="C702" s="66">
        <v>2.0</v>
      </c>
      <c r="D702" s="66">
        <v>0.0</v>
      </c>
      <c r="F702" s="66">
        <v>0.607</v>
      </c>
      <c r="G702" s="66">
        <v>0.303</v>
      </c>
      <c r="H702" s="66">
        <v>0.075</v>
      </c>
      <c r="I702" s="66">
        <v>0.038</v>
      </c>
      <c r="J702" s="66">
        <v>1.34</v>
      </c>
      <c r="K702" s="81">
        <f>AVERAGE(1.28,1.1,1.25,1.18)</f>
        <v>1.2025</v>
      </c>
      <c r="L702" s="82">
        <v>44704.0</v>
      </c>
    </row>
    <row r="703">
      <c r="A703" s="66" t="s">
        <v>57</v>
      </c>
      <c r="B703" s="66">
        <v>2376.0</v>
      </c>
      <c r="C703" s="66">
        <v>2.0</v>
      </c>
      <c r="D703" s="66">
        <v>1.0</v>
      </c>
      <c r="F703" s="66">
        <v>1.64</v>
      </c>
      <c r="G703" s="66">
        <v>0.913</v>
      </c>
      <c r="H703" s="66">
        <v>0.402</v>
      </c>
      <c r="I703" s="66">
        <v>0.223</v>
      </c>
      <c r="J703" s="66">
        <v>8.1</v>
      </c>
      <c r="K703" s="81">
        <f>AVERAGE(1.65,1.69,1.75,1.77)</f>
        <v>1.715</v>
      </c>
      <c r="L703" s="82">
        <v>44704.0</v>
      </c>
    </row>
    <row r="704">
      <c r="A704" s="66" t="s">
        <v>57</v>
      </c>
      <c r="B704" s="66">
        <v>2022.0</v>
      </c>
      <c r="C704" s="66">
        <v>1.0</v>
      </c>
      <c r="D704" s="66">
        <v>0.0</v>
      </c>
      <c r="F704" s="66">
        <v>3.066</v>
      </c>
      <c r="G704" s="66">
        <v>1.524</v>
      </c>
      <c r="H704" s="66">
        <v>0.237</v>
      </c>
      <c r="I704" s="66">
        <v>0.116</v>
      </c>
      <c r="J704" s="66">
        <v>3.42</v>
      </c>
      <c r="K704" s="81">
        <f>AVERAGE(1.58,1.91,1.73,1.58)</f>
        <v>1.7</v>
      </c>
      <c r="L704" s="82">
        <v>44704.0</v>
      </c>
    </row>
    <row r="705">
      <c r="A705" s="66" t="s">
        <v>57</v>
      </c>
      <c r="B705" s="66">
        <v>2022.0</v>
      </c>
      <c r="C705" s="66">
        <v>1.0</v>
      </c>
      <c r="D705" s="66">
        <v>1.0</v>
      </c>
      <c r="F705" s="66">
        <v>0.552</v>
      </c>
      <c r="G705" s="66">
        <v>0.305</v>
      </c>
      <c r="H705" s="66">
        <v>0.121</v>
      </c>
      <c r="I705" s="66">
        <v>0.065</v>
      </c>
      <c r="J705" s="66">
        <v>2.18</v>
      </c>
      <c r="K705" s="81">
        <f>AVERAGE(1.57,1.56,1.41,1.57)</f>
        <v>1.5275</v>
      </c>
      <c r="L705" s="82">
        <v>44704.0</v>
      </c>
    </row>
    <row r="706">
      <c r="A706" s="66" t="s">
        <v>57</v>
      </c>
      <c r="B706" s="66">
        <v>2029.0</v>
      </c>
      <c r="C706" s="66">
        <v>3.0</v>
      </c>
      <c r="D706" s="66">
        <v>1.0</v>
      </c>
      <c r="F706" s="66">
        <v>0.464</v>
      </c>
      <c r="G706" s="66">
        <v>0.277</v>
      </c>
      <c r="H706" s="66">
        <v>0.204</v>
      </c>
      <c r="I706" s="66">
        <v>0.114</v>
      </c>
      <c r="J706" s="66">
        <v>5.14</v>
      </c>
      <c r="K706" s="81">
        <f>AVERAGE(1.48,1.58,1.44,1.58)</f>
        <v>1.52</v>
      </c>
      <c r="L706" s="82">
        <v>44704.0</v>
      </c>
    </row>
    <row r="707">
      <c r="A707" s="66" t="s">
        <v>57</v>
      </c>
      <c r="B707" s="66">
        <v>2022.0</v>
      </c>
      <c r="C707" s="66">
        <v>2.0</v>
      </c>
      <c r="D707" s="66">
        <v>1.0</v>
      </c>
      <c r="F707" s="66">
        <v>0.644</v>
      </c>
      <c r="G707" s="66">
        <v>0.36</v>
      </c>
      <c r="H707" s="66">
        <v>0.122</v>
      </c>
      <c r="I707" s="66">
        <v>0.066</v>
      </c>
      <c r="J707" s="66">
        <v>1.87</v>
      </c>
      <c r="K707" s="81">
        <f>AVERAGE(1.72,1.74,1.78,1.82)</f>
        <v>1.765</v>
      </c>
      <c r="L707" s="82">
        <v>44704.0</v>
      </c>
    </row>
    <row r="708">
      <c r="A708" s="66" t="s">
        <v>57</v>
      </c>
      <c r="B708" s="66">
        <v>2354.0</v>
      </c>
      <c r="C708" s="66">
        <v>3.0</v>
      </c>
      <c r="D708" s="66">
        <v>1.0</v>
      </c>
      <c r="F708" s="66">
        <v>3.325</v>
      </c>
      <c r="G708" s="66">
        <v>1.794</v>
      </c>
      <c r="H708" s="66">
        <v>0.525</v>
      </c>
      <c r="I708" s="66">
        <v>0.26</v>
      </c>
      <c r="J708" s="66">
        <v>9.18</v>
      </c>
      <c r="K708" s="81">
        <f>AVERAGE(2.08,2.18,2.26,2.46)</f>
        <v>2.245</v>
      </c>
      <c r="L708" s="82">
        <v>44704.0</v>
      </c>
    </row>
    <row r="709">
      <c r="A709" s="66" t="s">
        <v>179</v>
      </c>
      <c r="B709" s="66">
        <v>2383.0</v>
      </c>
      <c r="C709" s="66">
        <v>3.0</v>
      </c>
      <c r="D709" s="66">
        <v>0.0</v>
      </c>
      <c r="F709" s="66">
        <v>0.672</v>
      </c>
      <c r="G709" s="66">
        <v>0.349</v>
      </c>
      <c r="H709" s="66">
        <v>0.06</v>
      </c>
      <c r="I709" s="66">
        <v>0.033</v>
      </c>
      <c r="J709" s="66">
        <v>1.42</v>
      </c>
      <c r="K709" s="81">
        <f>AVERAGE(1.14,1.4,1.22,1.04)</f>
        <v>1.2</v>
      </c>
      <c r="L709" s="82">
        <v>44704.0</v>
      </c>
    </row>
    <row r="710">
      <c r="A710" s="66" t="s">
        <v>179</v>
      </c>
      <c r="B710" s="66">
        <v>2343.0</v>
      </c>
      <c r="C710" s="66">
        <v>3.0</v>
      </c>
      <c r="D710" s="66">
        <v>0.0</v>
      </c>
      <c r="F710" s="66">
        <v>1.177</v>
      </c>
      <c r="G710" s="66">
        <v>0.581</v>
      </c>
      <c r="H710" s="66">
        <v>0.175</v>
      </c>
      <c r="I710" s="66">
        <v>0.084</v>
      </c>
      <c r="J710" s="66">
        <v>2.73</v>
      </c>
      <c r="K710" s="81">
        <f>AVERAGE(1.7,1.64,1.56,1.62)</f>
        <v>1.63</v>
      </c>
      <c r="L710" s="82">
        <v>44704.0</v>
      </c>
    </row>
    <row r="711">
      <c r="A711" s="66" t="s">
        <v>179</v>
      </c>
      <c r="B711" s="66">
        <v>2367.0</v>
      </c>
      <c r="C711" s="66">
        <v>3.0</v>
      </c>
      <c r="D711" s="66">
        <v>0.0</v>
      </c>
      <c r="F711" s="66">
        <v>0.77</v>
      </c>
      <c r="G711" s="66">
        <v>0.344</v>
      </c>
      <c r="H711" s="66">
        <v>0.109</v>
      </c>
      <c r="I711" s="66">
        <v>0.052</v>
      </c>
      <c r="J711" s="66">
        <v>2.06</v>
      </c>
      <c r="K711" s="81">
        <f>AVERAGE(1.11,1.27,1.28,1.16)</f>
        <v>1.205</v>
      </c>
      <c r="L711" s="82">
        <v>44704.0</v>
      </c>
    </row>
    <row r="712">
      <c r="A712" s="66" t="s">
        <v>57</v>
      </c>
      <c r="B712" s="66">
        <v>2352.0</v>
      </c>
      <c r="C712" s="66">
        <v>1.0</v>
      </c>
      <c r="D712" s="66">
        <v>0.0</v>
      </c>
      <c r="F712" s="66">
        <v>0.716</v>
      </c>
      <c r="G712" s="66">
        <v>0.456</v>
      </c>
      <c r="H712" s="66">
        <v>0.036</v>
      </c>
      <c r="I712" s="66">
        <v>0.025</v>
      </c>
      <c r="J712" s="66">
        <v>2.3</v>
      </c>
      <c r="K712" s="81">
        <f>(0.85+0.87+0.91+0.93)/4</f>
        <v>0.89</v>
      </c>
      <c r="L712" s="82">
        <v>44761.0</v>
      </c>
    </row>
    <row r="713">
      <c r="A713" s="66" t="s">
        <v>57</v>
      </c>
      <c r="B713" s="66">
        <v>2393.0</v>
      </c>
      <c r="C713" s="66">
        <v>1.0</v>
      </c>
      <c r="D713" s="66">
        <v>1.0</v>
      </c>
      <c r="F713" s="66">
        <v>1.678</v>
      </c>
      <c r="G713" s="66">
        <v>1.109</v>
      </c>
      <c r="H713" s="66">
        <v>0.597</v>
      </c>
      <c r="I713" s="66">
        <v>0.393</v>
      </c>
      <c r="J713" s="66">
        <v>11.48</v>
      </c>
      <c r="K713" s="81">
        <f>(2.28+2.27+2.38+2.32)/4</f>
        <v>2.3125</v>
      </c>
      <c r="L713" s="82">
        <v>44761.0</v>
      </c>
    </row>
    <row r="714">
      <c r="A714" s="66" t="s">
        <v>57</v>
      </c>
      <c r="B714" s="66">
        <v>2376.0</v>
      </c>
      <c r="C714" s="66">
        <v>2.0</v>
      </c>
      <c r="D714" s="66">
        <v>1.0</v>
      </c>
      <c r="F714" s="66">
        <v>0.832</v>
      </c>
      <c r="G714" s="66">
        <v>0.584</v>
      </c>
      <c r="H714" s="66">
        <v>0.113</v>
      </c>
      <c r="I714" s="66">
        <v>0.082</v>
      </c>
      <c r="J714" s="66">
        <v>3.27</v>
      </c>
      <c r="K714" s="81">
        <f>(1.58+1.51+1.42+1.4)/4</f>
        <v>1.4775</v>
      </c>
      <c r="L714" s="82">
        <v>44761.0</v>
      </c>
    </row>
    <row r="715">
      <c r="A715" s="66" t="s">
        <v>179</v>
      </c>
      <c r="B715" s="66">
        <v>2013.0</v>
      </c>
      <c r="C715" s="66">
        <v>2.0</v>
      </c>
      <c r="D715" s="66">
        <v>0.0</v>
      </c>
      <c r="F715" s="66">
        <v>1.077</v>
      </c>
      <c r="G715" s="66">
        <v>0.627</v>
      </c>
      <c r="H715" s="66">
        <v>0.254</v>
      </c>
      <c r="I715" s="66">
        <v>0.155</v>
      </c>
      <c r="J715" s="66">
        <v>3.63</v>
      </c>
      <c r="K715" s="81">
        <f>AVERAGE(1.7, 1.66, 1.58, 1.59)</f>
        <v>1.6325</v>
      </c>
      <c r="L715" s="82">
        <v>44761.0</v>
      </c>
    </row>
    <row r="716">
      <c r="A716" s="66" t="s">
        <v>179</v>
      </c>
      <c r="B716" s="66">
        <v>2020.0</v>
      </c>
      <c r="C716" s="66">
        <v>2.0</v>
      </c>
      <c r="D716" s="66">
        <v>0.0</v>
      </c>
      <c r="F716" s="66">
        <v>0.354</v>
      </c>
      <c r="G716" s="66">
        <v>0.208</v>
      </c>
      <c r="H716" s="66">
        <v>0.045</v>
      </c>
      <c r="I716" s="66">
        <v>0.026</v>
      </c>
      <c r="J716" s="66">
        <v>1.07</v>
      </c>
      <c r="K716" s="81">
        <f>AVERAGE(1.11,1.09,1.19,1.23)</f>
        <v>1.155</v>
      </c>
      <c r="L716" s="82">
        <v>44761.0</v>
      </c>
    </row>
    <row r="717">
      <c r="A717" s="66" t="s">
        <v>179</v>
      </c>
      <c r="B717" s="66">
        <v>2009.0</v>
      </c>
      <c r="C717" s="66">
        <v>1.0</v>
      </c>
      <c r="D717" s="66">
        <v>0.0</v>
      </c>
      <c r="F717" s="66">
        <v>0.398</v>
      </c>
      <c r="G717" s="66">
        <v>0.257</v>
      </c>
      <c r="H717" s="66">
        <v>0.06</v>
      </c>
      <c r="I717" s="66">
        <v>0.041</v>
      </c>
      <c r="J717" s="66">
        <v>1.13</v>
      </c>
      <c r="K717" s="81">
        <f>AVERAGE(1.12,1.02,1.08,1.18)</f>
        <v>1.1</v>
      </c>
      <c r="L717" s="82">
        <v>44761.0</v>
      </c>
    </row>
    <row r="718">
      <c r="A718" s="66" t="s">
        <v>57</v>
      </c>
      <c r="B718" s="66">
        <v>2092.0</v>
      </c>
      <c r="C718" s="66">
        <v>1.0</v>
      </c>
      <c r="D718" s="66">
        <v>0.0</v>
      </c>
      <c r="F718" s="66">
        <v>1.202</v>
      </c>
      <c r="G718" s="66">
        <v>0.77</v>
      </c>
      <c r="H718" s="66">
        <v>0.197</v>
      </c>
      <c r="I718" s="66">
        <v>0.118</v>
      </c>
      <c r="J718" s="66">
        <v>4.75</v>
      </c>
      <c r="K718" s="81">
        <f>AVERAGE(1.75,1.75,1.84,1.79)</f>
        <v>1.7825</v>
      </c>
      <c r="L718" s="82">
        <v>44761.0</v>
      </c>
    </row>
    <row r="719">
      <c r="A719" s="66" t="s">
        <v>179</v>
      </c>
      <c r="B719" s="66">
        <v>2009.0</v>
      </c>
      <c r="C719" s="66">
        <v>2.0</v>
      </c>
      <c r="D719" s="66">
        <v>0.0</v>
      </c>
      <c r="F719" s="66">
        <v>0.639</v>
      </c>
      <c r="G719" s="66">
        <v>0.415</v>
      </c>
      <c r="H719" s="66">
        <v>0.079</v>
      </c>
      <c r="I719" s="66">
        <v>0.054</v>
      </c>
      <c r="J719" s="66">
        <v>1.19</v>
      </c>
      <c r="K719" s="81">
        <f>AVERAGE(1.28,1.18,1.24,1.28)</f>
        <v>1.245</v>
      </c>
      <c r="L719" s="82">
        <v>44761.0</v>
      </c>
    </row>
    <row r="720">
      <c r="A720" s="66" t="s">
        <v>57</v>
      </c>
      <c r="B720" s="66">
        <v>2301.0</v>
      </c>
      <c r="C720" s="66">
        <v>3.0</v>
      </c>
      <c r="D720" s="66">
        <v>1.0</v>
      </c>
      <c r="F720" s="66">
        <v>1.384</v>
      </c>
      <c r="G720" s="66">
        <v>0.991</v>
      </c>
      <c r="H720" s="66">
        <v>0.176</v>
      </c>
      <c r="I720" s="66">
        <v>0.124</v>
      </c>
      <c r="J720" s="66">
        <v>5.7</v>
      </c>
      <c r="K720" s="81">
        <f>AVERAGE(1.26,1.27,1.23,1.26)</f>
        <v>1.255</v>
      </c>
      <c r="L720" s="82">
        <v>44761.0</v>
      </c>
    </row>
    <row r="721">
      <c r="A721" s="66" t="s">
        <v>179</v>
      </c>
      <c r="B721" s="66">
        <v>2375.0</v>
      </c>
      <c r="C721" s="66">
        <v>2.0</v>
      </c>
      <c r="D721" s="66">
        <v>0.0</v>
      </c>
      <c r="F721" s="66">
        <v>0.271</v>
      </c>
      <c r="G721" s="66">
        <v>0.177</v>
      </c>
      <c r="H721" s="66">
        <v>0.024</v>
      </c>
      <c r="I721" s="66">
        <v>0.016</v>
      </c>
      <c r="J721" s="66">
        <v>0.72</v>
      </c>
      <c r="K721" s="81">
        <f>AVERAGE(1.06,1.23,1.21,1.03)</f>
        <v>1.1325</v>
      </c>
      <c r="L721" s="82">
        <v>44761.0</v>
      </c>
    </row>
    <row r="722">
      <c r="A722" s="66" t="s">
        <v>57</v>
      </c>
      <c r="B722" s="66">
        <v>2376.0</v>
      </c>
      <c r="C722" s="66">
        <v>3.0</v>
      </c>
      <c r="D722" s="66">
        <v>1.0</v>
      </c>
      <c r="F722" s="66">
        <v>0.806</v>
      </c>
      <c r="G722" s="66">
        <v>0.561</v>
      </c>
      <c r="H722" s="66">
        <v>0.176</v>
      </c>
      <c r="I722" s="66">
        <v>0.129</v>
      </c>
      <c r="J722" s="66">
        <v>5.28</v>
      </c>
      <c r="K722" s="81">
        <f>AVERAGE(1.88,1.67,1.87,1.89)</f>
        <v>1.8275</v>
      </c>
      <c r="L722" s="82">
        <v>44761.0</v>
      </c>
    </row>
    <row r="723">
      <c r="A723" s="66" t="s">
        <v>179</v>
      </c>
      <c r="B723" s="66">
        <v>2379.0</v>
      </c>
      <c r="C723" s="66">
        <v>2.0</v>
      </c>
      <c r="D723" s="66">
        <v>0.0</v>
      </c>
      <c r="F723" s="66">
        <v>0.51</v>
      </c>
      <c r="G723" s="66">
        <v>0.312</v>
      </c>
      <c r="H723" s="66">
        <v>0.016</v>
      </c>
      <c r="I723" s="66">
        <v>0.01</v>
      </c>
      <c r="J723" s="66">
        <v>0.57</v>
      </c>
      <c r="K723" s="81">
        <f>AVERAGE(0.89,0.99,1.05,0.98)</f>
        <v>0.9775</v>
      </c>
      <c r="L723" s="82">
        <v>44761.0</v>
      </c>
    </row>
    <row r="724">
      <c r="A724" s="66" t="s">
        <v>179</v>
      </c>
      <c r="B724" s="66">
        <v>2028.0</v>
      </c>
      <c r="C724" s="66">
        <v>2.0</v>
      </c>
      <c r="D724" s="66">
        <v>0.0</v>
      </c>
      <c r="F724" s="66">
        <v>0.623</v>
      </c>
      <c r="G724" s="66">
        <v>0.383</v>
      </c>
      <c r="H724" s="66">
        <v>0.056</v>
      </c>
      <c r="I724" s="66">
        <v>0.038</v>
      </c>
      <c r="J724" s="66">
        <v>0.91</v>
      </c>
      <c r="K724" s="81">
        <f>AVERAGE(1.17,1.15,1.26,1.26)</f>
        <v>1.21</v>
      </c>
      <c r="L724" s="82">
        <v>44761.0</v>
      </c>
    </row>
    <row r="725">
      <c r="A725" s="66" t="s">
        <v>179</v>
      </c>
      <c r="B725" s="66">
        <v>2383.0</v>
      </c>
      <c r="C725" s="66">
        <v>1.0</v>
      </c>
      <c r="D725" s="66">
        <v>0.0</v>
      </c>
      <c r="F725" s="66">
        <v>0.506</v>
      </c>
      <c r="G725" s="66">
        <v>0.328</v>
      </c>
      <c r="H725" s="66">
        <v>0.048</v>
      </c>
      <c r="I725" s="66">
        <v>0.033</v>
      </c>
      <c r="J725" s="66">
        <v>1.34</v>
      </c>
      <c r="K725" s="81">
        <f>AVERAGE(1.24,1.25,1.26,1.3)</f>
        <v>1.2625</v>
      </c>
      <c r="L725" s="82">
        <v>44761.0</v>
      </c>
    </row>
    <row r="726">
      <c r="A726" s="66" t="s">
        <v>57</v>
      </c>
      <c r="B726" s="66">
        <v>2092.0</v>
      </c>
      <c r="C726" s="66">
        <v>3.0</v>
      </c>
      <c r="D726" s="66">
        <v>1.0</v>
      </c>
      <c r="F726" s="66">
        <v>2.6</v>
      </c>
      <c r="G726" s="66">
        <v>1.672</v>
      </c>
      <c r="H726" s="66">
        <v>0.43</v>
      </c>
      <c r="I726" s="66">
        <v>0.262</v>
      </c>
      <c r="J726" s="66">
        <v>5.11</v>
      </c>
      <c r="K726" s="81">
        <f>AVERAGE(1.4,1.34,1.34,1.43)</f>
        <v>1.3775</v>
      </c>
      <c r="L726" s="82">
        <v>44761.0</v>
      </c>
    </row>
    <row r="727">
      <c r="A727" s="66" t="s">
        <v>179</v>
      </c>
      <c r="B727" s="66">
        <v>2375.0</v>
      </c>
      <c r="C727" s="66">
        <v>3.0</v>
      </c>
      <c r="D727" s="66">
        <v>0.0</v>
      </c>
      <c r="F727" s="66">
        <v>0.304</v>
      </c>
      <c r="G727" s="66">
        <v>0.2</v>
      </c>
      <c r="H727" s="66">
        <v>0.044</v>
      </c>
      <c r="I727" s="66">
        <v>0.03</v>
      </c>
      <c r="J727" s="66">
        <v>1.35</v>
      </c>
      <c r="K727" s="81">
        <f>AVERAGE(1.02,1.26,1.04,1.18)</f>
        <v>1.125</v>
      </c>
      <c r="L727" s="82">
        <v>44761.0</v>
      </c>
    </row>
    <row r="728">
      <c r="A728" s="66" t="s">
        <v>57</v>
      </c>
      <c r="B728" s="66">
        <v>2352.0</v>
      </c>
      <c r="C728" s="66">
        <v>3.0</v>
      </c>
      <c r="D728" s="66">
        <v>1.0</v>
      </c>
      <c r="F728" s="66">
        <v>0.339</v>
      </c>
      <c r="G728" s="66">
        <v>0.243</v>
      </c>
      <c r="H728" s="66">
        <v>0.047</v>
      </c>
      <c r="I728" s="66">
        <v>0.034</v>
      </c>
      <c r="J728" s="66">
        <v>2.77</v>
      </c>
      <c r="K728" s="81">
        <f>AVERAGE(0.99,0.99,1.07,0.96)</f>
        <v>1.0025</v>
      </c>
      <c r="L728" s="82">
        <v>44761.0</v>
      </c>
    </row>
    <row r="729">
      <c r="A729" s="66" t="s">
        <v>179</v>
      </c>
      <c r="B729" s="66">
        <v>2006.0</v>
      </c>
      <c r="C729" s="66">
        <v>3.0</v>
      </c>
      <c r="D729" s="66">
        <v>0.0</v>
      </c>
      <c r="F729" s="66">
        <v>0.506</v>
      </c>
      <c r="G729" s="66">
        <v>0.326</v>
      </c>
      <c r="H729" s="66">
        <v>0.076</v>
      </c>
      <c r="I729" s="66">
        <v>0.052</v>
      </c>
      <c r="J729" s="66">
        <v>1.42</v>
      </c>
      <c r="K729" s="81">
        <f>AVERAGE(1.41,1.37,1.32,1.31)</f>
        <v>1.3525</v>
      </c>
      <c r="L729" s="82">
        <v>44761.0</v>
      </c>
    </row>
    <row r="730">
      <c r="A730" s="66" t="s">
        <v>179</v>
      </c>
      <c r="B730" s="66">
        <v>2020.0</v>
      </c>
      <c r="C730" s="66">
        <v>3.0</v>
      </c>
      <c r="D730" s="66">
        <v>0.0</v>
      </c>
      <c r="F730" s="66">
        <v>0.39</v>
      </c>
      <c r="G730" s="66">
        <v>0.229</v>
      </c>
      <c r="H730" s="66">
        <v>0.043</v>
      </c>
      <c r="I730" s="66">
        <v>0.026</v>
      </c>
      <c r="J730" s="66">
        <v>1.14</v>
      </c>
      <c r="K730" s="81">
        <f>AVERAGE(1.01,1.15,1.07,0.95)</f>
        <v>1.045</v>
      </c>
      <c r="L730" s="82">
        <v>44761.0</v>
      </c>
    </row>
    <row r="731">
      <c r="A731" s="66" t="s">
        <v>179</v>
      </c>
      <c r="B731" s="66">
        <v>2384.0</v>
      </c>
      <c r="C731" s="66">
        <v>1.0</v>
      </c>
      <c r="D731" s="66">
        <v>0.0</v>
      </c>
      <c r="F731" s="66">
        <v>0.32</v>
      </c>
      <c r="G731" s="66">
        <v>0.213</v>
      </c>
      <c r="H731" s="66">
        <v>0.013</v>
      </c>
      <c r="I731" s="66">
        <v>0.009</v>
      </c>
      <c r="J731" s="66">
        <v>0.6</v>
      </c>
      <c r="K731" s="81">
        <f>AVERAGE(0.88,0.87,0.88,0.8)</f>
        <v>0.8575</v>
      </c>
      <c r="L731" s="82">
        <v>44761.0</v>
      </c>
    </row>
    <row r="732">
      <c r="A732" s="66" t="s">
        <v>179</v>
      </c>
      <c r="B732" s="66">
        <v>2367.0</v>
      </c>
      <c r="C732" s="66">
        <v>1.0</v>
      </c>
      <c r="D732" s="66">
        <v>0.0</v>
      </c>
      <c r="F732" s="66">
        <v>0.296</v>
      </c>
      <c r="G732" s="66">
        <v>0.187</v>
      </c>
      <c r="H732" s="66">
        <v>0.012</v>
      </c>
      <c r="I732" s="66">
        <v>0.007</v>
      </c>
      <c r="J732" s="66">
        <v>0.59</v>
      </c>
      <c r="K732" s="81">
        <f>AVERAGE(0.66,0.69,0.82,0.8)</f>
        <v>0.7425</v>
      </c>
      <c r="L732" s="82">
        <v>44761.0</v>
      </c>
    </row>
    <row r="733">
      <c r="A733" s="66" t="s">
        <v>179</v>
      </c>
      <c r="B733" s="66">
        <v>2025.0</v>
      </c>
      <c r="C733" s="66">
        <v>3.0</v>
      </c>
      <c r="D733" s="66">
        <v>0.0</v>
      </c>
      <c r="F733" s="66">
        <v>0.679</v>
      </c>
      <c r="G733" s="66">
        <v>0.402</v>
      </c>
      <c r="H733" s="66">
        <v>0.111</v>
      </c>
      <c r="I733" s="66">
        <v>0.071</v>
      </c>
      <c r="J733" s="66">
        <v>2.29</v>
      </c>
      <c r="K733" s="81">
        <f>AVERAGE(1.42,1.45,1.55,1.5)</f>
        <v>1.48</v>
      </c>
      <c r="L733" s="82">
        <v>44761.0</v>
      </c>
    </row>
    <row r="734">
      <c r="A734" s="66" t="s">
        <v>179</v>
      </c>
      <c r="B734" s="66">
        <v>2025.0</v>
      </c>
      <c r="C734" s="66">
        <v>2.0</v>
      </c>
      <c r="D734" s="66">
        <v>0.0</v>
      </c>
      <c r="F734" s="66">
        <v>0.537</v>
      </c>
      <c r="G734" s="66">
        <v>0.317</v>
      </c>
      <c r="H734" s="66">
        <v>0.115</v>
      </c>
      <c r="I734" s="66">
        <v>0.074</v>
      </c>
      <c r="J734" s="66">
        <v>2.19</v>
      </c>
      <c r="K734" s="81">
        <f>AVERAGE(1.39,1.51,1.38,1.42)</f>
        <v>1.425</v>
      </c>
      <c r="L734" s="82">
        <v>44761.0</v>
      </c>
    </row>
    <row r="735">
      <c r="A735" s="66" t="s">
        <v>179</v>
      </c>
      <c r="B735" s="66">
        <v>2365.0</v>
      </c>
      <c r="C735" s="66">
        <v>3.0</v>
      </c>
      <c r="D735" s="66">
        <v>0.0</v>
      </c>
      <c r="F735" s="66">
        <v>0.683</v>
      </c>
      <c r="G735" s="66">
        <v>0.431</v>
      </c>
      <c r="H735" s="66">
        <v>0.061</v>
      </c>
      <c r="I735" s="66">
        <v>0.043</v>
      </c>
      <c r="J735" s="66">
        <v>1.39</v>
      </c>
      <c r="K735" s="81">
        <f>AVERAGE(1.17,1.27,1.21,1.2)</f>
        <v>1.2125</v>
      </c>
      <c r="L735" s="82">
        <v>44761.0</v>
      </c>
    </row>
    <row r="736">
      <c r="A736" s="66" t="s">
        <v>179</v>
      </c>
      <c r="B736" s="66">
        <v>2025.0</v>
      </c>
      <c r="C736" s="66">
        <v>1.0</v>
      </c>
      <c r="D736" s="66">
        <v>0.0</v>
      </c>
      <c r="F736" s="66">
        <v>0.327</v>
      </c>
      <c r="G736" s="66">
        <v>0.152</v>
      </c>
      <c r="H736" s="66">
        <v>0.078</v>
      </c>
      <c r="I736" s="66">
        <v>0.053</v>
      </c>
      <c r="J736" s="66">
        <v>2.1</v>
      </c>
      <c r="K736" s="81">
        <f>AVERAGE(1.17,1.2,1.03,1.14)</f>
        <v>1.135</v>
      </c>
      <c r="L736" s="82">
        <v>44761.0</v>
      </c>
    </row>
    <row r="737">
      <c r="A737" s="66" t="s">
        <v>179</v>
      </c>
      <c r="B737" s="66">
        <v>2372.0</v>
      </c>
      <c r="C737" s="66">
        <v>1.0</v>
      </c>
      <c r="D737" s="66">
        <v>0.0</v>
      </c>
      <c r="F737" s="66">
        <v>0.584</v>
      </c>
      <c r="G737" s="66">
        <v>0.376</v>
      </c>
      <c r="H737" s="66">
        <v>0.065</v>
      </c>
      <c r="I737" s="66">
        <v>0.044</v>
      </c>
      <c r="J737" s="66">
        <v>1.09</v>
      </c>
      <c r="K737" s="81">
        <f>AVERAGE(1.05,1.08,1.38,1.2)</f>
        <v>1.1775</v>
      </c>
      <c r="L737" s="82">
        <v>44761.0</v>
      </c>
    </row>
    <row r="738">
      <c r="A738" s="66" t="s">
        <v>179</v>
      </c>
      <c r="B738" s="66">
        <v>2360.0</v>
      </c>
      <c r="C738" s="66">
        <v>2.0</v>
      </c>
      <c r="D738" s="66">
        <v>0.0</v>
      </c>
      <c r="F738" s="66">
        <v>0.428</v>
      </c>
      <c r="G738" s="66">
        <v>0.271</v>
      </c>
      <c r="H738" s="66">
        <v>0.04</v>
      </c>
      <c r="I738" s="66">
        <v>0.028</v>
      </c>
      <c r="J738" s="66">
        <v>1.04</v>
      </c>
      <c r="K738" s="81">
        <f>AVERAGE(1.28,1.02,1.04,1.06)</f>
        <v>1.1</v>
      </c>
      <c r="L738" s="82">
        <v>44761.0</v>
      </c>
    </row>
    <row r="739">
      <c r="A739" s="66" t="s">
        <v>179</v>
      </c>
      <c r="B739" s="66">
        <v>2021.0</v>
      </c>
      <c r="C739" s="66">
        <v>2.0</v>
      </c>
      <c r="D739" s="66">
        <v>0.0</v>
      </c>
      <c r="F739" s="66">
        <v>0.475</v>
      </c>
      <c r="G739" s="66">
        <v>0.286</v>
      </c>
      <c r="H739" s="66">
        <v>0.125</v>
      </c>
      <c r="I739" s="66">
        <v>0.076</v>
      </c>
      <c r="J739" s="66">
        <v>2.06</v>
      </c>
      <c r="K739" s="81">
        <f>AVERAGE(1.49,1.63,1.58,1.5)</f>
        <v>1.55</v>
      </c>
      <c r="L739" s="82">
        <v>44761.0</v>
      </c>
    </row>
    <row r="740">
      <c r="A740" s="66" t="s">
        <v>179</v>
      </c>
      <c r="B740" s="66">
        <v>2027.0</v>
      </c>
      <c r="C740" s="66">
        <v>1.0</v>
      </c>
      <c r="D740" s="66">
        <v>0.0</v>
      </c>
      <c r="F740" s="66">
        <v>0.176</v>
      </c>
      <c r="G740" s="66">
        <v>0.104</v>
      </c>
      <c r="H740" s="66">
        <v>0.021</v>
      </c>
      <c r="I740" s="66">
        <v>0.014</v>
      </c>
      <c r="J740" s="66">
        <v>0.63</v>
      </c>
      <c r="K740" s="81">
        <f>AVERAGE(0.96,0.92,0.96,0.91)</f>
        <v>0.9375</v>
      </c>
      <c r="L740" s="82">
        <v>44761.0</v>
      </c>
    </row>
    <row r="741">
      <c r="A741" s="66" t="s">
        <v>179</v>
      </c>
      <c r="B741" s="66">
        <v>2087.0</v>
      </c>
      <c r="C741" s="66">
        <v>2.0</v>
      </c>
      <c r="D741" s="66">
        <v>0.0</v>
      </c>
      <c r="F741" s="66">
        <v>0.652</v>
      </c>
      <c r="G741" s="66">
        <v>0.099</v>
      </c>
      <c r="H741" s="66">
        <v>0.381</v>
      </c>
      <c r="I741" s="66">
        <v>0.055</v>
      </c>
      <c r="J741" s="66">
        <v>1.18</v>
      </c>
      <c r="K741" s="81">
        <f>AVERAGE(1.66, 1.6,1.77,1.5)</f>
        <v>1.6325</v>
      </c>
      <c r="L741" s="82">
        <v>44761.0</v>
      </c>
    </row>
    <row r="742">
      <c r="A742" s="66" t="s">
        <v>179</v>
      </c>
      <c r="B742" s="66">
        <v>2086.0</v>
      </c>
      <c r="C742" s="66">
        <v>1.0</v>
      </c>
      <c r="D742" s="66">
        <v>0.0</v>
      </c>
      <c r="F742" s="66">
        <v>1.659</v>
      </c>
      <c r="G742" s="66">
        <v>0.983</v>
      </c>
      <c r="H742" s="66">
        <v>0.349</v>
      </c>
      <c r="I742" s="66">
        <v>0.225</v>
      </c>
      <c r="J742" s="66">
        <v>3.1</v>
      </c>
      <c r="K742" s="81">
        <f>AVERAGE(2.29,2.33,2.4,2.44)</f>
        <v>2.365</v>
      </c>
      <c r="L742" s="82">
        <v>44761.0</v>
      </c>
    </row>
    <row r="743">
      <c r="A743" s="66" t="s">
        <v>185</v>
      </c>
      <c r="B743" s="66">
        <v>2031.0</v>
      </c>
      <c r="C743" s="66">
        <v>2.0</v>
      </c>
      <c r="D743" s="66">
        <v>0.0</v>
      </c>
      <c r="F743" s="66">
        <v>0.366</v>
      </c>
      <c r="G743" s="66">
        <v>0.221</v>
      </c>
      <c r="H743" s="66">
        <v>0.083</v>
      </c>
      <c r="I743" s="66">
        <v>0.053</v>
      </c>
      <c r="J743" s="66">
        <v>1.56</v>
      </c>
      <c r="K743" s="81">
        <f>AVERAGE(1.57,1.44,1.28,1.45)</f>
        <v>1.435</v>
      </c>
      <c r="L743" s="82">
        <v>44761.0</v>
      </c>
    </row>
    <row r="744">
      <c r="A744" s="66" t="s">
        <v>179</v>
      </c>
      <c r="B744" s="66">
        <v>2031.0</v>
      </c>
      <c r="C744" s="66">
        <v>1.0</v>
      </c>
      <c r="D744" s="66">
        <v>0.0</v>
      </c>
      <c r="F744" s="66">
        <v>0.46</v>
      </c>
      <c r="G744" s="66">
        <v>0.275</v>
      </c>
      <c r="H744" s="66">
        <v>0.039</v>
      </c>
      <c r="I744" s="66">
        <v>0.025</v>
      </c>
      <c r="J744" s="66">
        <v>0.94</v>
      </c>
      <c r="K744" s="81">
        <f>AVERAGE(1.27,1.26,1.04,1.06)</f>
        <v>1.1575</v>
      </c>
      <c r="L744" s="82">
        <v>44761.0</v>
      </c>
    </row>
    <row r="745">
      <c r="A745" s="66" t="s">
        <v>57</v>
      </c>
      <c r="B745" s="66">
        <v>2345.0</v>
      </c>
      <c r="C745" s="66">
        <v>3.0</v>
      </c>
      <c r="D745" s="66">
        <v>1.0</v>
      </c>
      <c r="F745" s="66">
        <v>1.067</v>
      </c>
      <c r="G745" s="66">
        <v>0.707</v>
      </c>
      <c r="H745" s="66">
        <v>0.198</v>
      </c>
      <c r="I745" s="66">
        <v>0.134</v>
      </c>
      <c r="J745" s="66">
        <v>4.11</v>
      </c>
      <c r="K745" s="81">
        <f>AVERAGE(1.73,1.69,1.73,1.66)</f>
        <v>1.7025</v>
      </c>
      <c r="L745" s="82">
        <v>44761.0</v>
      </c>
    </row>
    <row r="746">
      <c r="A746" s="66" t="s">
        <v>179</v>
      </c>
      <c r="B746" s="66">
        <v>2378.0</v>
      </c>
      <c r="C746" s="66">
        <v>2.0</v>
      </c>
      <c r="D746" s="66">
        <v>0.0</v>
      </c>
      <c r="F746" s="66">
        <v>0.72</v>
      </c>
      <c r="G746" s="66">
        <v>0.447</v>
      </c>
      <c r="H746" s="66">
        <v>0.101</v>
      </c>
      <c r="I746" s="66">
        <v>0.066</v>
      </c>
      <c r="J746" s="66">
        <v>2.73</v>
      </c>
      <c r="K746" s="81">
        <f>AVERAGE(1.12,1.14,1.16,1.17)</f>
        <v>1.1475</v>
      </c>
      <c r="L746" s="82">
        <v>44761.0</v>
      </c>
    </row>
    <row r="747">
      <c r="A747" s="66" t="s">
        <v>57</v>
      </c>
      <c r="B747" s="66">
        <v>2091.0</v>
      </c>
      <c r="C747" s="66">
        <v>3.0</v>
      </c>
      <c r="D747" s="66">
        <v>1.0</v>
      </c>
      <c r="F747" s="66">
        <v>1.087</v>
      </c>
      <c r="G747" s="66">
        <v>0.716</v>
      </c>
      <c r="H747" s="66">
        <v>0.25</v>
      </c>
      <c r="I747" s="66">
        <v>0.16</v>
      </c>
      <c r="J747" s="66">
        <v>4.56</v>
      </c>
      <c r="K747" s="81">
        <f>AVERAGE(1.75,1.86,1.91,1.91)</f>
        <v>1.8575</v>
      </c>
      <c r="L747" s="82">
        <v>44761.0</v>
      </c>
    </row>
    <row r="748">
      <c r="A748" s="66" t="s">
        <v>179</v>
      </c>
      <c r="B748" s="66">
        <v>2005.0</v>
      </c>
      <c r="C748" s="66">
        <v>1.0</v>
      </c>
      <c r="D748" s="66">
        <v>0.0</v>
      </c>
      <c r="F748" s="66">
        <v>1.853</v>
      </c>
      <c r="G748" s="66">
        <v>1.06</v>
      </c>
      <c r="H748" s="66">
        <v>0.361</v>
      </c>
      <c r="I748" s="66">
        <v>0.219</v>
      </c>
      <c r="J748" s="66">
        <v>4.02</v>
      </c>
      <c r="K748" s="81">
        <f>AVERAGE(1.61,1.67,1.68,1.69)</f>
        <v>1.6625</v>
      </c>
      <c r="L748" s="82">
        <v>44761.0</v>
      </c>
    </row>
    <row r="749">
      <c r="A749" s="66" t="s">
        <v>179</v>
      </c>
      <c r="B749" s="66">
        <v>2090.0</v>
      </c>
      <c r="C749" s="66">
        <v>1.0</v>
      </c>
      <c r="D749" s="66">
        <v>0.0</v>
      </c>
      <c r="F749" s="66">
        <v>0.486</v>
      </c>
      <c r="G749" s="66">
        <v>0.282</v>
      </c>
      <c r="H749" s="66">
        <v>0.086</v>
      </c>
      <c r="I749" s="66">
        <v>0.054</v>
      </c>
      <c r="J749" s="66">
        <v>1.49</v>
      </c>
      <c r="K749" s="81">
        <f>AVERAGE(1.18,1.31,1.27,1.2)</f>
        <v>1.24</v>
      </c>
      <c r="L749" s="82">
        <v>44761.0</v>
      </c>
    </row>
    <row r="750">
      <c r="A750" s="66" t="s">
        <v>179</v>
      </c>
      <c r="B750" s="66">
        <v>2010.0</v>
      </c>
      <c r="C750" s="66">
        <v>4.0</v>
      </c>
      <c r="D750" s="66">
        <v>0.0</v>
      </c>
      <c r="F750" s="66">
        <v>0.736</v>
      </c>
      <c r="G750" s="66">
        <v>0.439</v>
      </c>
      <c r="H750" s="66">
        <v>0.206</v>
      </c>
      <c r="I750" s="66">
        <v>0.13</v>
      </c>
      <c r="J750" s="66">
        <v>2.94</v>
      </c>
      <c r="K750" s="81">
        <f>AVERAGE(1.8,2.02,1.72,1.55)</f>
        <v>1.7725</v>
      </c>
      <c r="L750" s="82">
        <v>44761.0</v>
      </c>
    </row>
    <row r="751">
      <c r="A751" s="66" t="s">
        <v>179</v>
      </c>
      <c r="B751" s="66">
        <v>2371.0</v>
      </c>
      <c r="C751" s="66">
        <v>3.0</v>
      </c>
      <c r="D751" s="66">
        <v>0.0</v>
      </c>
      <c r="F751" s="66">
        <v>0.778</v>
      </c>
      <c r="G751" s="66">
        <v>0.483</v>
      </c>
      <c r="H751" s="66">
        <v>0.061</v>
      </c>
      <c r="I751" s="66">
        <v>0.041</v>
      </c>
      <c r="J751" s="66">
        <v>1.39</v>
      </c>
      <c r="K751" s="81">
        <f>AVERAGE(1.34,1.32,1.37,1.34)</f>
        <v>1.3425</v>
      </c>
      <c r="L751" s="82">
        <v>44761.0</v>
      </c>
    </row>
    <row r="752">
      <c r="A752" s="66" t="s">
        <v>57</v>
      </c>
      <c r="B752" s="66">
        <v>2089.0</v>
      </c>
      <c r="C752" s="66">
        <v>3.0</v>
      </c>
      <c r="D752" s="66">
        <v>0.0</v>
      </c>
      <c r="F752" s="66">
        <v>0.631</v>
      </c>
      <c r="G752" s="66">
        <v>0.388</v>
      </c>
      <c r="H752" s="66">
        <v>0.135</v>
      </c>
      <c r="I752" s="66">
        <v>0.085</v>
      </c>
      <c r="J752" s="66">
        <v>4.36</v>
      </c>
      <c r="K752" s="81">
        <f>AVERAGE(1.37,1.42,1.35,1.38)</f>
        <v>1.38</v>
      </c>
      <c r="L752" s="82">
        <v>44761.0</v>
      </c>
    </row>
    <row r="753">
      <c r="A753" s="66" t="s">
        <v>179</v>
      </c>
      <c r="B753" s="66">
        <v>2021.0</v>
      </c>
      <c r="C753" s="66">
        <v>1.0</v>
      </c>
      <c r="D753" s="66">
        <v>0.0</v>
      </c>
      <c r="F753" s="66">
        <v>0.494</v>
      </c>
      <c r="G753" s="66">
        <v>0.294</v>
      </c>
      <c r="H753" s="66">
        <v>0.059</v>
      </c>
      <c r="I753" s="66">
        <v>0.037</v>
      </c>
      <c r="J753" s="66">
        <v>1.15</v>
      </c>
      <c r="K753" s="81">
        <f>AVERAGE(1.12,1.11,1.1,1.05)</f>
        <v>1.095</v>
      </c>
      <c r="L753" s="82">
        <v>44761.0</v>
      </c>
    </row>
    <row r="754">
      <c r="A754" s="66" t="s">
        <v>57</v>
      </c>
      <c r="B754" s="66">
        <v>2091.0</v>
      </c>
      <c r="C754" s="66">
        <v>2.0</v>
      </c>
      <c r="D754" s="66">
        <v>1.0</v>
      </c>
      <c r="F754" s="66">
        <v>0.938</v>
      </c>
      <c r="G754" s="66">
        <v>0.617</v>
      </c>
      <c r="H754" s="66">
        <v>0.181</v>
      </c>
      <c r="I754" s="66">
        <v>0.115</v>
      </c>
      <c r="J754" s="66">
        <v>3.3</v>
      </c>
      <c r="K754" s="81">
        <f>AVERAGE(1.69,1.76,1.76,1.84)</f>
        <v>1.7625</v>
      </c>
      <c r="L754" s="82">
        <v>44761.0</v>
      </c>
    </row>
    <row r="755">
      <c r="A755" s="66" t="s">
        <v>179</v>
      </c>
      <c r="B755" s="66">
        <v>2031.0</v>
      </c>
      <c r="C755" s="66">
        <v>3.0</v>
      </c>
      <c r="D755" s="66">
        <v>0.0</v>
      </c>
      <c r="F755" s="66">
        <v>0.449</v>
      </c>
      <c r="G755" s="66">
        <v>0.287</v>
      </c>
      <c r="H755" s="66">
        <v>0.099</v>
      </c>
      <c r="I755" s="66">
        <v>0.065</v>
      </c>
      <c r="J755" s="66">
        <v>1.77</v>
      </c>
      <c r="K755" s="81">
        <f>AVERAGE(1.26,1.41,1.46,1.39)</f>
        <v>1.38</v>
      </c>
      <c r="L755" s="82">
        <v>44761.0</v>
      </c>
    </row>
    <row r="756">
      <c r="A756" s="66" t="s">
        <v>57</v>
      </c>
      <c r="B756" s="66">
        <v>2331.0</v>
      </c>
      <c r="C756" s="66">
        <v>3.0</v>
      </c>
      <c r="D756" s="66">
        <v>1.0</v>
      </c>
      <c r="F756" s="66">
        <v>1.139</v>
      </c>
      <c r="G756" s="66">
        <v>0.783</v>
      </c>
      <c r="H756" s="66">
        <v>0.239</v>
      </c>
      <c r="I756" s="66">
        <v>0.175</v>
      </c>
      <c r="J756" s="66">
        <v>5.31</v>
      </c>
      <c r="K756" s="81">
        <f>AVERAGE(1.44,1.55,1.64,1.61)</f>
        <v>1.56</v>
      </c>
      <c r="L756" s="82">
        <v>44761.0</v>
      </c>
    </row>
    <row r="757">
      <c r="A757" s="66" t="s">
        <v>57</v>
      </c>
      <c r="B757" s="66">
        <v>2089.0</v>
      </c>
      <c r="C757" s="66">
        <v>1.0</v>
      </c>
      <c r="D757" s="66">
        <v>0.0</v>
      </c>
      <c r="E757" s="66">
        <v>2.0</v>
      </c>
      <c r="F757" s="66">
        <v>0.506</v>
      </c>
      <c r="G757" s="66">
        <v>0.323</v>
      </c>
      <c r="H757" s="66">
        <v>0.17</v>
      </c>
      <c r="I757" s="66">
        <v>0.113</v>
      </c>
      <c r="J757" s="66">
        <v>4.66</v>
      </c>
      <c r="K757" s="81">
        <f>AVERAGE(1.55,1.41,1.51,1.73)</f>
        <v>1.55</v>
      </c>
      <c r="L757" s="82">
        <v>44761.0</v>
      </c>
    </row>
    <row r="758">
      <c r="A758" s="66" t="s">
        <v>179</v>
      </c>
      <c r="B758" s="66">
        <v>2087.0</v>
      </c>
      <c r="C758" s="66">
        <v>1.0</v>
      </c>
      <c r="D758" s="66">
        <v>0.0</v>
      </c>
      <c r="F758" s="66">
        <v>0.476</v>
      </c>
      <c r="G758" s="66">
        <v>0.275</v>
      </c>
      <c r="H758" s="66">
        <v>0.092</v>
      </c>
      <c r="I758" s="66">
        <v>0.052</v>
      </c>
      <c r="J758" s="66">
        <v>1.37</v>
      </c>
      <c r="K758" s="81">
        <f>AVERAGE(1.42,1.67,1.67,1.52)</f>
        <v>1.57</v>
      </c>
      <c r="L758" s="82">
        <v>44761.0</v>
      </c>
    </row>
    <row r="759">
      <c r="A759" s="66" t="s">
        <v>179</v>
      </c>
      <c r="B759" s="66">
        <v>2026.0</v>
      </c>
      <c r="C759" s="66">
        <v>1.0</v>
      </c>
      <c r="D759" s="66">
        <v>0.0</v>
      </c>
      <c r="F759" s="66">
        <v>0.621</v>
      </c>
      <c r="G759" s="66">
        <v>0.371</v>
      </c>
      <c r="H759" s="66">
        <v>0.104</v>
      </c>
      <c r="I759" s="66">
        <v>0.069</v>
      </c>
      <c r="J759" s="66">
        <v>2.09</v>
      </c>
      <c r="K759" s="81">
        <f>AVERAGE(1.13,1.22,1.24,1.29)</f>
        <v>1.22</v>
      </c>
      <c r="L759" s="82">
        <v>44761.0</v>
      </c>
    </row>
    <row r="760">
      <c r="A760" s="66" t="s">
        <v>179</v>
      </c>
      <c r="B760" s="66">
        <v>2367.0</v>
      </c>
      <c r="C760" s="66">
        <v>2.0</v>
      </c>
      <c r="D760" s="66">
        <v>0.0</v>
      </c>
      <c r="F760" s="66">
        <v>0.202</v>
      </c>
      <c r="G760" s="66">
        <v>0.133</v>
      </c>
      <c r="H760" s="66">
        <v>0.01</v>
      </c>
      <c r="I760" s="66">
        <v>0.007</v>
      </c>
      <c r="J760" s="66">
        <v>0.53</v>
      </c>
      <c r="K760" s="81">
        <f>AVERAGE(0.71,0.58,0.61,0.78)</f>
        <v>0.67</v>
      </c>
      <c r="L760" s="82">
        <v>44761.0</v>
      </c>
    </row>
    <row r="761">
      <c r="A761" s="66" t="s">
        <v>179</v>
      </c>
      <c r="B761" s="66">
        <v>2088.0</v>
      </c>
      <c r="C761" s="66">
        <v>3.0</v>
      </c>
      <c r="D761" s="66">
        <v>0.0</v>
      </c>
      <c r="F761" s="66">
        <v>0.543</v>
      </c>
      <c r="G761" s="66">
        <v>0.318</v>
      </c>
      <c r="H761" s="66">
        <v>0.033</v>
      </c>
      <c r="I761" s="66">
        <v>0.024</v>
      </c>
      <c r="J761" s="66">
        <v>0.92</v>
      </c>
      <c r="K761" s="81">
        <f>AVERAGE(1.04,1.12,1.02,0.96)</f>
        <v>1.035</v>
      </c>
      <c r="L761" s="82">
        <v>44761.0</v>
      </c>
    </row>
    <row r="762">
      <c r="A762" s="66" t="s">
        <v>57</v>
      </c>
      <c r="B762" s="66">
        <v>2345.0</v>
      </c>
      <c r="C762" s="66">
        <v>1.0</v>
      </c>
      <c r="D762" s="66">
        <v>1.0</v>
      </c>
      <c r="F762" s="66">
        <v>0.807</v>
      </c>
      <c r="G762" s="66">
        <v>0.553</v>
      </c>
      <c r="H762" s="66">
        <v>0.09</v>
      </c>
      <c r="I762" s="66">
        <v>0.062</v>
      </c>
      <c r="J762" s="66">
        <v>2.68</v>
      </c>
      <c r="K762" s="81">
        <f>AVERAGE(1.25,1.07,1.15,1.05)</f>
        <v>1.13</v>
      </c>
      <c r="L762" s="82">
        <v>44761.0</v>
      </c>
    </row>
    <row r="763">
      <c r="A763" s="66" t="s">
        <v>179</v>
      </c>
      <c r="B763" s="66">
        <v>2011.0</v>
      </c>
      <c r="C763" s="66">
        <v>1.0</v>
      </c>
      <c r="D763" s="66">
        <v>0.0</v>
      </c>
      <c r="F763" s="66">
        <v>0.59</v>
      </c>
      <c r="G763" s="66">
        <v>0.377</v>
      </c>
      <c r="H763" s="66">
        <v>0.058</v>
      </c>
      <c r="I763" s="66">
        <v>0.039</v>
      </c>
      <c r="J763" s="66">
        <v>1.05</v>
      </c>
      <c r="K763" s="81">
        <f>AVERAGE(1.17,1.27,1.28,1.32)</f>
        <v>1.26</v>
      </c>
      <c r="L763" s="82">
        <v>44761.0</v>
      </c>
    </row>
    <row r="764">
      <c r="A764" s="66" t="s">
        <v>186</v>
      </c>
      <c r="B764" s="66">
        <v>2091.0</v>
      </c>
      <c r="C764" s="66">
        <v>1.0</v>
      </c>
      <c r="D764" s="66">
        <v>0.0</v>
      </c>
      <c r="F764" s="66">
        <v>1.109</v>
      </c>
      <c r="G764" s="66">
        <v>0.707</v>
      </c>
      <c r="H764" s="66">
        <v>0.14</v>
      </c>
      <c r="I764" s="66">
        <v>0.088</v>
      </c>
      <c r="J764" s="66">
        <v>3.15</v>
      </c>
      <c r="K764" s="81">
        <f>AVERAGE(1.75,1.76,1.74,1.74)</f>
        <v>1.7475</v>
      </c>
      <c r="L764" s="82">
        <v>44761.0</v>
      </c>
    </row>
    <row r="765">
      <c r="A765" s="66" t="s">
        <v>57</v>
      </c>
      <c r="B765" s="66">
        <v>2029.0</v>
      </c>
      <c r="C765" s="66">
        <v>3.0</v>
      </c>
      <c r="D765" s="66">
        <v>0.0</v>
      </c>
      <c r="F765" s="66">
        <v>1.054</v>
      </c>
      <c r="G765" s="66">
        <v>0.654</v>
      </c>
      <c r="H765" s="66">
        <v>0.027</v>
      </c>
      <c r="I765" s="66">
        <v>0.017</v>
      </c>
      <c r="J765" s="66">
        <v>1.71</v>
      </c>
      <c r="K765" s="81">
        <f>AVERAGE(0.99,1.05,1.15,1.05)</f>
        <v>1.06</v>
      </c>
      <c r="L765" s="82">
        <v>44761.0</v>
      </c>
    </row>
    <row r="766">
      <c r="A766" s="66" t="s">
        <v>57</v>
      </c>
      <c r="B766" s="66">
        <v>2380.0</v>
      </c>
      <c r="C766" s="66">
        <v>3.0</v>
      </c>
      <c r="D766" s="66">
        <v>0.0</v>
      </c>
      <c r="F766" s="66">
        <v>0.567</v>
      </c>
      <c r="G766" s="66">
        <v>0.37</v>
      </c>
      <c r="H766" s="66">
        <v>0.052</v>
      </c>
      <c r="I766" s="66">
        <v>0.034</v>
      </c>
      <c r="J766" s="66">
        <v>1.62</v>
      </c>
      <c r="K766" s="81">
        <f>AVERAGE(0.98,0.95,0.85,1.11)</f>
        <v>0.9725</v>
      </c>
      <c r="L766" s="82">
        <v>44761.0</v>
      </c>
    </row>
    <row r="767">
      <c r="A767" s="66" t="s">
        <v>57</v>
      </c>
      <c r="B767" s="66">
        <v>2393.0</v>
      </c>
      <c r="C767" s="66">
        <v>1.0</v>
      </c>
      <c r="D767" s="66">
        <v>0.0</v>
      </c>
      <c r="F767" s="66">
        <v>0.774</v>
      </c>
      <c r="G767" s="66">
        <v>0.496</v>
      </c>
      <c r="H767" s="66">
        <v>0.095</v>
      </c>
      <c r="I767" s="66">
        <v>0.06</v>
      </c>
      <c r="J767" s="66">
        <v>2.66</v>
      </c>
      <c r="K767" s="81">
        <f>AVERAGE(1.23,1.25,1.27,1.3)</f>
        <v>1.2625</v>
      </c>
      <c r="L767" s="82">
        <v>44761.0</v>
      </c>
    </row>
    <row r="768">
      <c r="A768" s="66" t="s">
        <v>57</v>
      </c>
      <c r="B768" s="66">
        <v>2023.0</v>
      </c>
      <c r="C768" s="66">
        <v>3.0</v>
      </c>
      <c r="D768" s="66">
        <v>0.0</v>
      </c>
      <c r="F768" s="66">
        <v>0.908</v>
      </c>
      <c r="G768" s="66">
        <v>0.552</v>
      </c>
      <c r="H768" s="66">
        <v>0.175</v>
      </c>
      <c r="I768" s="66">
        <v>0.11</v>
      </c>
      <c r="J768" s="66">
        <v>3.64</v>
      </c>
      <c r="K768" s="81">
        <f>AVERAGE(1.5,1.39,1.33,1.37)</f>
        <v>1.3975</v>
      </c>
      <c r="L768" s="82">
        <v>44761.0</v>
      </c>
    </row>
    <row r="769">
      <c r="A769" s="66" t="s">
        <v>179</v>
      </c>
      <c r="B769" s="66">
        <v>2012.0</v>
      </c>
      <c r="C769" s="66">
        <v>3.0</v>
      </c>
      <c r="D769" s="66">
        <v>0.0</v>
      </c>
      <c r="F769" s="66">
        <v>0.453</v>
      </c>
      <c r="G769" s="66">
        <v>0.281</v>
      </c>
      <c r="H769" s="66">
        <v>0.084</v>
      </c>
      <c r="I769" s="66">
        <v>0.054</v>
      </c>
      <c r="J769" s="66">
        <v>2.48</v>
      </c>
      <c r="K769" s="81">
        <f>AVERAGE(1.16,1.18,1.2,1.15)</f>
        <v>1.1725</v>
      </c>
      <c r="L769" s="82">
        <v>44761.0</v>
      </c>
    </row>
    <row r="770">
      <c r="A770" s="66" t="s">
        <v>179</v>
      </c>
      <c r="B770" s="66">
        <v>2013.0</v>
      </c>
      <c r="C770" s="66">
        <v>3.0</v>
      </c>
      <c r="D770" s="66">
        <v>0.0</v>
      </c>
      <c r="F770" s="66">
        <v>0.893</v>
      </c>
      <c r="G770" s="66">
        <v>0.55</v>
      </c>
      <c r="H770" s="66">
        <v>0.328</v>
      </c>
      <c r="I770" s="66">
        <v>0.213</v>
      </c>
      <c r="J770" s="66">
        <v>4.9</v>
      </c>
      <c r="K770" s="81">
        <f>AVERAGE(1.69,1.69,1.91,1.79)</f>
        <v>1.77</v>
      </c>
      <c r="L770" s="82">
        <v>44761.0</v>
      </c>
    </row>
    <row r="771">
      <c r="A771" s="66" t="s">
        <v>179</v>
      </c>
      <c r="B771" s="66">
        <v>2027.0</v>
      </c>
      <c r="C771" s="66">
        <v>3.0</v>
      </c>
      <c r="D771" s="66">
        <v>0.0</v>
      </c>
      <c r="F771" s="66">
        <v>0.78</v>
      </c>
      <c r="G771" s="66">
        <v>0.476</v>
      </c>
      <c r="H771" s="66">
        <v>0.055</v>
      </c>
      <c r="I771" s="66">
        <v>0.036</v>
      </c>
      <c r="J771" s="66">
        <v>0.86</v>
      </c>
      <c r="K771" s="81">
        <f>AVERAGE(1.11,1.12,1.18,0.99)</f>
        <v>1.1</v>
      </c>
      <c r="L771" s="82">
        <v>44761.0</v>
      </c>
    </row>
    <row r="772">
      <c r="A772" s="66" t="s">
        <v>57</v>
      </c>
      <c r="B772" s="66">
        <v>2352.0</v>
      </c>
      <c r="C772" s="66">
        <v>1.0</v>
      </c>
      <c r="D772" s="66">
        <v>1.0</v>
      </c>
      <c r="F772" s="66">
        <v>0.093</v>
      </c>
      <c r="G772" s="66">
        <v>0.069</v>
      </c>
      <c r="H772" s="66">
        <v>0.074</v>
      </c>
      <c r="I772" s="66">
        <v>0.055</v>
      </c>
      <c r="J772" s="66">
        <v>3.98</v>
      </c>
      <c r="K772" s="81">
        <f>AVERAGE(1.21,1.09,1.03,1.12)</f>
        <v>1.1125</v>
      </c>
      <c r="L772" s="82">
        <v>44761.0</v>
      </c>
    </row>
    <row r="773">
      <c r="A773" s="66" t="s">
        <v>57</v>
      </c>
      <c r="B773" s="66">
        <v>2393.0</v>
      </c>
      <c r="C773" s="66">
        <v>2.0</v>
      </c>
      <c r="D773" s="66">
        <v>1.0</v>
      </c>
      <c r="F773" s="66">
        <v>1.65</v>
      </c>
      <c r="G773" s="66">
        <v>1.079</v>
      </c>
      <c r="H773" s="66">
        <v>0.459</v>
      </c>
      <c r="I773" s="66">
        <v>0.303</v>
      </c>
      <c r="J773" s="66">
        <v>10.28</v>
      </c>
      <c r="K773" s="81">
        <f>AVERAGE(1.83,1.85,1.87,1.97)</f>
        <v>1.88</v>
      </c>
      <c r="L773" s="82">
        <v>44761.0</v>
      </c>
    </row>
    <row r="774">
      <c r="A774" s="66" t="s">
        <v>179</v>
      </c>
      <c r="B774" s="66">
        <v>2013.0</v>
      </c>
      <c r="C774" s="66">
        <v>1.0</v>
      </c>
      <c r="D774" s="66">
        <v>0.0</v>
      </c>
      <c r="F774" s="66">
        <v>0.436</v>
      </c>
      <c r="G774" s="66">
        <v>0.258</v>
      </c>
      <c r="H774" s="66">
        <v>0.303</v>
      </c>
      <c r="I774" s="66">
        <v>0.187</v>
      </c>
      <c r="J774" s="66">
        <v>4.58</v>
      </c>
      <c r="K774" s="81">
        <f>AVERAGE(1.36,1.66,1.6,1.36)</f>
        <v>1.495</v>
      </c>
      <c r="L774" s="82">
        <v>44761.0</v>
      </c>
    </row>
    <row r="775">
      <c r="A775" s="66" t="s">
        <v>57</v>
      </c>
      <c r="B775" s="66">
        <v>2023.0</v>
      </c>
      <c r="C775" s="66">
        <v>1.0</v>
      </c>
      <c r="D775" s="66">
        <v>0.0</v>
      </c>
      <c r="F775" s="66">
        <v>2.019</v>
      </c>
      <c r="G775" s="66">
        <v>1.228</v>
      </c>
      <c r="H775" s="66">
        <v>0.141</v>
      </c>
      <c r="I775" s="66">
        <v>0.088</v>
      </c>
      <c r="J775" s="66">
        <v>2.83</v>
      </c>
      <c r="K775" s="81">
        <f>AVERAGE(1.16,1.3,1.43,1.37)</f>
        <v>1.315</v>
      </c>
      <c r="L775" s="82">
        <v>44761.0</v>
      </c>
    </row>
    <row r="776">
      <c r="A776" s="66" t="s">
        <v>57</v>
      </c>
      <c r="B776" s="66">
        <v>2354.0</v>
      </c>
      <c r="C776" s="66">
        <v>1.0</v>
      </c>
      <c r="D776" s="66">
        <v>1.0</v>
      </c>
      <c r="F776" s="66">
        <v>1.381</v>
      </c>
      <c r="G776" s="66">
        <v>0.917</v>
      </c>
      <c r="H776" s="66">
        <v>0.153</v>
      </c>
      <c r="I776" s="66">
        <v>0.099</v>
      </c>
      <c r="J776" s="66">
        <v>5.47</v>
      </c>
      <c r="K776" s="81">
        <f>AVERAGE(1.56,1.67,1.72,1.85)</f>
        <v>1.7</v>
      </c>
      <c r="L776" s="82">
        <v>44761.0</v>
      </c>
    </row>
    <row r="777">
      <c r="A777" s="66" t="s">
        <v>179</v>
      </c>
      <c r="B777" s="66">
        <v>2367.0</v>
      </c>
      <c r="C777" s="66">
        <v>3.0</v>
      </c>
      <c r="D777" s="66">
        <v>0.0</v>
      </c>
      <c r="F777" s="66">
        <v>0.334</v>
      </c>
      <c r="G777" s="66">
        <v>0.216</v>
      </c>
      <c r="H777" s="66">
        <v>0.011</v>
      </c>
      <c r="I777" s="66">
        <v>0.007</v>
      </c>
      <c r="J777" s="66">
        <v>0.59</v>
      </c>
      <c r="K777" s="81">
        <f>AVERAGE(0.71,0.7,0.71,0.8)</f>
        <v>0.73</v>
      </c>
      <c r="L777" s="82">
        <v>44761.0</v>
      </c>
    </row>
    <row r="778">
      <c r="A778" s="66" t="s">
        <v>179</v>
      </c>
      <c r="B778" s="66">
        <v>2024.0</v>
      </c>
      <c r="C778" s="66">
        <v>1.0</v>
      </c>
      <c r="D778" s="66">
        <v>0.0</v>
      </c>
      <c r="F778" s="66">
        <v>1.408</v>
      </c>
      <c r="G778" s="66">
        <v>0.803</v>
      </c>
      <c r="H778" s="66">
        <v>0.167</v>
      </c>
      <c r="I778" s="66">
        <v>0.106</v>
      </c>
      <c r="J778" s="66">
        <v>2.3</v>
      </c>
      <c r="K778" s="81">
        <f>AVERAGE(1.62,1.62,1.69,1.82)</f>
        <v>1.6875</v>
      </c>
      <c r="L778" s="82">
        <v>44761.0</v>
      </c>
    </row>
    <row r="779">
      <c r="A779" s="66" t="s">
        <v>179</v>
      </c>
      <c r="B779" s="66">
        <v>2011.0</v>
      </c>
      <c r="C779" s="66">
        <v>2.0</v>
      </c>
      <c r="D779" s="66">
        <v>0.0</v>
      </c>
      <c r="F779" s="66">
        <v>0.511</v>
      </c>
      <c r="G779" s="66">
        <v>0.327</v>
      </c>
      <c r="H779" s="66">
        <v>0.043</v>
      </c>
      <c r="I779" s="66">
        <v>0.029</v>
      </c>
      <c r="J779" s="66">
        <v>0.8</v>
      </c>
      <c r="K779" s="81">
        <f>AVERAGE(1.13,1.2,1.25,1.23)</f>
        <v>1.2025</v>
      </c>
      <c r="L779" s="82">
        <v>44761.0</v>
      </c>
    </row>
    <row r="780">
      <c r="A780" s="66" t="s">
        <v>179</v>
      </c>
      <c r="B780" s="66">
        <v>2381.0</v>
      </c>
      <c r="C780" s="66">
        <v>3.0</v>
      </c>
      <c r="D780" s="66">
        <v>0.0</v>
      </c>
      <c r="F780" s="66">
        <v>1.144</v>
      </c>
      <c r="G780" s="66">
        <v>0.7</v>
      </c>
      <c r="H780" s="66">
        <v>0.122</v>
      </c>
      <c r="I780" s="66">
        <v>0.081</v>
      </c>
      <c r="J780" s="66">
        <v>1.57</v>
      </c>
      <c r="K780" s="81">
        <f>AVERAGE(1.47,1.48,1.5,1.51)</f>
        <v>1.49</v>
      </c>
      <c r="L780" s="82">
        <v>44761.0</v>
      </c>
    </row>
    <row r="781">
      <c r="A781" s="66" t="s">
        <v>179</v>
      </c>
      <c r="B781" s="66">
        <v>2379.0</v>
      </c>
      <c r="C781" s="66">
        <v>3.0</v>
      </c>
      <c r="D781" s="66">
        <v>0.0</v>
      </c>
      <c r="F781" s="66">
        <v>0.614</v>
      </c>
      <c r="G781" s="66">
        <v>0.377</v>
      </c>
      <c r="H781" s="66">
        <v>0.03</v>
      </c>
      <c r="I781" s="66">
        <v>0.019</v>
      </c>
      <c r="J781" s="66">
        <v>1.05</v>
      </c>
      <c r="K781" s="81">
        <f>AVERAGE(1.33,1.1,1.08,1.31)</f>
        <v>1.205</v>
      </c>
      <c r="L781" s="82">
        <v>44761.0</v>
      </c>
    </row>
    <row r="782">
      <c r="A782" s="66" t="s">
        <v>179</v>
      </c>
      <c r="B782" s="66">
        <v>2346.0</v>
      </c>
      <c r="C782" s="66">
        <v>1.0</v>
      </c>
      <c r="D782" s="66">
        <v>0.0</v>
      </c>
      <c r="F782" s="66">
        <v>0.257</v>
      </c>
      <c r="G782" s="66">
        <v>0.169</v>
      </c>
      <c r="H782" s="66">
        <v>0.024</v>
      </c>
      <c r="I782" s="66">
        <v>0.015</v>
      </c>
      <c r="J782" s="66">
        <v>0.74</v>
      </c>
      <c r="K782" s="81">
        <f>AVERAGE(0.83,0.91,0.92,0.93)</f>
        <v>0.8975</v>
      </c>
      <c r="L782" s="82">
        <v>44761.0</v>
      </c>
    </row>
    <row r="783">
      <c r="A783" s="66" t="s">
        <v>57</v>
      </c>
      <c r="B783" s="66">
        <v>2301.0</v>
      </c>
      <c r="C783" s="66">
        <v>2.0</v>
      </c>
      <c r="D783" s="66">
        <v>1.0</v>
      </c>
      <c r="F783" s="66">
        <v>1.325</v>
      </c>
      <c r="G783" s="66">
        <v>0.941</v>
      </c>
      <c r="H783" s="66">
        <v>0.228</v>
      </c>
      <c r="I783" s="66">
        <v>0.157</v>
      </c>
      <c r="J783" s="66">
        <v>6.53</v>
      </c>
      <c r="K783" s="81">
        <f>AVERAGE(1.44,1.46,1.51,1.53)</f>
        <v>1.485</v>
      </c>
      <c r="L783" s="82">
        <v>44761.0</v>
      </c>
    </row>
    <row r="784">
      <c r="A784" s="66" t="s">
        <v>57</v>
      </c>
      <c r="B784" s="66">
        <v>2380.0</v>
      </c>
      <c r="C784" s="66">
        <v>1.0</v>
      </c>
      <c r="D784" s="66">
        <v>0.0</v>
      </c>
      <c r="F784" s="66">
        <v>0.764</v>
      </c>
      <c r="G784" s="66">
        <v>0.523</v>
      </c>
      <c r="H784" s="66">
        <v>0.123</v>
      </c>
      <c r="I784" s="66">
        <v>0.085</v>
      </c>
      <c r="J784" s="66">
        <v>3.19</v>
      </c>
      <c r="K784" s="81">
        <f>AVERAGE(1.34,1.35,1.43,1.48)</f>
        <v>1.4</v>
      </c>
      <c r="L784" s="82">
        <v>44761.0</v>
      </c>
    </row>
    <row r="785">
      <c r="A785" s="66" t="s">
        <v>57</v>
      </c>
      <c r="B785" s="66">
        <v>2092.0</v>
      </c>
      <c r="C785" s="66">
        <v>2.0</v>
      </c>
      <c r="D785" s="66">
        <v>0.0</v>
      </c>
      <c r="F785" s="66">
        <v>0.362</v>
      </c>
      <c r="G785" s="66">
        <v>0.239</v>
      </c>
      <c r="H785" s="66">
        <v>0.055</v>
      </c>
      <c r="I785" s="66">
        <v>0.034</v>
      </c>
      <c r="J785" s="66">
        <v>1.98</v>
      </c>
      <c r="K785" s="81">
        <f>AVERAGE(1.31,1.3,1.34,1.29)</f>
        <v>1.31</v>
      </c>
      <c r="L785" s="82">
        <v>44761.0</v>
      </c>
    </row>
    <row r="786">
      <c r="A786" s="66" t="s">
        <v>57</v>
      </c>
      <c r="B786" s="66">
        <v>2354.0</v>
      </c>
      <c r="C786" s="66">
        <v>3.0</v>
      </c>
      <c r="D786" s="66">
        <v>1.0</v>
      </c>
      <c r="F786" s="66">
        <v>1.145</v>
      </c>
      <c r="G786" s="66">
        <v>0.776</v>
      </c>
      <c r="H786" s="66">
        <v>0.122</v>
      </c>
      <c r="I786" s="66">
        <v>0.081</v>
      </c>
      <c r="J786" s="66">
        <v>5.62</v>
      </c>
      <c r="K786" s="81">
        <f>AVERAGE(1.28,1.32,1.42,1.5)</f>
        <v>1.38</v>
      </c>
      <c r="L786" s="82">
        <v>44761.0</v>
      </c>
    </row>
    <row r="787">
      <c r="A787" s="66" t="s">
        <v>179</v>
      </c>
      <c r="B787" s="66">
        <v>2381.0</v>
      </c>
      <c r="C787" s="66">
        <v>2.0</v>
      </c>
      <c r="D787" s="66">
        <v>0.0</v>
      </c>
      <c r="F787" s="66">
        <v>0.807</v>
      </c>
      <c r="G787" s="66">
        <v>0.495</v>
      </c>
      <c r="H787" s="66">
        <v>0.072</v>
      </c>
      <c r="I787" s="66">
        <v>0.048</v>
      </c>
      <c r="J787" s="66">
        <v>1.12</v>
      </c>
      <c r="K787" s="66">
        <f>AVERAGE(1.08,1.11,1.25,1.35)</f>
        <v>1.1975</v>
      </c>
      <c r="L787" s="82">
        <v>44761.0</v>
      </c>
    </row>
    <row r="788">
      <c r="A788" s="66" t="s">
        <v>179</v>
      </c>
      <c r="B788" s="66">
        <v>2009.0</v>
      </c>
      <c r="C788" s="66">
        <v>3.0</v>
      </c>
      <c r="D788" s="66">
        <v>0.0</v>
      </c>
      <c r="F788" s="66">
        <v>0.595</v>
      </c>
      <c r="G788" s="66">
        <v>0.388</v>
      </c>
      <c r="H788" s="66">
        <v>0.088</v>
      </c>
      <c r="I788" s="66">
        <v>0.062</v>
      </c>
      <c r="J788" s="66">
        <v>1.45</v>
      </c>
      <c r="K788" s="81">
        <f>AVERAGE(1.35,1.33,1.38,1.43)</f>
        <v>1.3725</v>
      </c>
      <c r="L788" s="82">
        <v>44761.0</v>
      </c>
    </row>
    <row r="789">
      <c r="A789" s="66" t="s">
        <v>179</v>
      </c>
      <c r="B789" s="66">
        <v>2360.0</v>
      </c>
      <c r="C789" s="66">
        <v>3.0</v>
      </c>
      <c r="D789" s="66">
        <v>0.0</v>
      </c>
      <c r="F789" s="66">
        <v>0.438</v>
      </c>
      <c r="G789" s="66">
        <v>0.281</v>
      </c>
      <c r="H789" s="66">
        <v>0.041</v>
      </c>
      <c r="I789" s="66">
        <v>0.03</v>
      </c>
      <c r="J789" s="66">
        <v>1.45</v>
      </c>
      <c r="K789" s="81">
        <f>AVERAGE(1.22,1.12,1.16,1.27)</f>
        <v>1.1925</v>
      </c>
      <c r="L789" s="82">
        <v>44761.0</v>
      </c>
    </row>
    <row r="790">
      <c r="A790" s="66" t="s">
        <v>179</v>
      </c>
      <c r="B790" s="66">
        <v>2384.0</v>
      </c>
      <c r="C790" s="66">
        <v>2.0</v>
      </c>
      <c r="D790" s="66">
        <v>0.0</v>
      </c>
      <c r="F790" s="66">
        <v>0.493</v>
      </c>
      <c r="G790" s="66">
        <v>0.323</v>
      </c>
      <c r="H790" s="66">
        <v>0.028</v>
      </c>
      <c r="I790" s="66">
        <v>0.021</v>
      </c>
      <c r="J790" s="66">
        <v>0.86</v>
      </c>
      <c r="K790" s="81">
        <f>AVERAGE(1.01,1.04,0.94,0.91)</f>
        <v>0.975</v>
      </c>
      <c r="L790" s="82">
        <v>44761.0</v>
      </c>
    </row>
    <row r="791">
      <c r="A791" s="66" t="s">
        <v>179</v>
      </c>
      <c r="B791" s="66">
        <v>2365.0</v>
      </c>
      <c r="C791" s="66">
        <v>2.0</v>
      </c>
      <c r="D791" s="66">
        <v>0.0</v>
      </c>
      <c r="F791" s="66">
        <v>0.497</v>
      </c>
      <c r="G791" s="66">
        <v>0.31</v>
      </c>
      <c r="H791" s="66">
        <v>0.047</v>
      </c>
      <c r="I791" s="66">
        <v>0.033</v>
      </c>
      <c r="J791" s="66">
        <v>1.31</v>
      </c>
      <c r="K791" s="81">
        <f>AVERAGE(1.06,1.01,0.99,1.04)</f>
        <v>1.025</v>
      </c>
      <c r="L791" s="82">
        <v>44761.0</v>
      </c>
    </row>
    <row r="792">
      <c r="A792" s="66" t="s">
        <v>179</v>
      </c>
      <c r="B792" s="66">
        <v>2010.0</v>
      </c>
      <c r="C792" s="66">
        <v>2.0</v>
      </c>
      <c r="D792" s="66">
        <v>0.0</v>
      </c>
      <c r="F792" s="66">
        <v>0.981</v>
      </c>
      <c r="G792" s="66">
        <v>0.588</v>
      </c>
      <c r="H792" s="66">
        <v>0.102</v>
      </c>
      <c r="I792" s="66">
        <v>0.067</v>
      </c>
      <c r="J792" s="66">
        <v>1.28</v>
      </c>
      <c r="K792" s="81">
        <f>AVERAGE(1.61,1.62,1.57,1.58)</f>
        <v>1.595</v>
      </c>
      <c r="L792" s="82">
        <v>44761.0</v>
      </c>
    </row>
    <row r="793">
      <c r="A793" s="66" t="s">
        <v>57</v>
      </c>
      <c r="B793" s="66">
        <v>2380.0</v>
      </c>
      <c r="C793" s="66">
        <v>2.0</v>
      </c>
      <c r="D793" s="66">
        <v>0.0</v>
      </c>
      <c r="F793" s="66">
        <v>1.286</v>
      </c>
      <c r="G793" s="66">
        <v>0.869</v>
      </c>
      <c r="H793" s="66">
        <v>0.152</v>
      </c>
      <c r="I793" s="66">
        <v>0.104</v>
      </c>
      <c r="J793" s="66">
        <v>3.38</v>
      </c>
      <c r="K793" s="81">
        <f>AVERAGE(1.61,1.65,1.67,1.6)</f>
        <v>1.6325</v>
      </c>
      <c r="L793" s="82">
        <v>44761.0</v>
      </c>
    </row>
    <row r="794">
      <c r="A794" s="66" t="s">
        <v>179</v>
      </c>
      <c r="B794" s="66">
        <v>2343.0</v>
      </c>
      <c r="C794" s="66">
        <v>3.0</v>
      </c>
      <c r="D794" s="66">
        <v>0.0</v>
      </c>
      <c r="F794" s="66">
        <v>0.91</v>
      </c>
      <c r="G794" s="66">
        <v>0.565</v>
      </c>
      <c r="H794" s="66">
        <v>0.156</v>
      </c>
      <c r="I794" s="66">
        <v>0.102</v>
      </c>
      <c r="J794" s="66">
        <v>1.92</v>
      </c>
      <c r="K794" s="81">
        <f>AVERAGE(1.25,1.35,1.41,1.61)</f>
        <v>1.405</v>
      </c>
      <c r="L794" s="82">
        <v>44761.0</v>
      </c>
    </row>
    <row r="795">
      <c r="A795" s="66" t="s">
        <v>57</v>
      </c>
      <c r="B795" s="66">
        <v>2030.0</v>
      </c>
      <c r="C795" s="66">
        <v>1.0</v>
      </c>
      <c r="D795" s="66">
        <v>0.0</v>
      </c>
      <c r="F795" s="66">
        <v>0.965</v>
      </c>
      <c r="G795" s="66">
        <v>0.596</v>
      </c>
      <c r="H795" s="66">
        <v>0.105</v>
      </c>
      <c r="I795" s="66">
        <v>0.066</v>
      </c>
      <c r="J795" s="66">
        <v>2.55</v>
      </c>
      <c r="K795" s="81">
        <f>AVERAGE(1.19,1.27,1.37,1.35)</f>
        <v>1.295</v>
      </c>
      <c r="L795" s="82">
        <v>44761.0</v>
      </c>
    </row>
    <row r="796">
      <c r="A796" s="66" t="s">
        <v>179</v>
      </c>
      <c r="B796" s="66">
        <v>2006.0</v>
      </c>
      <c r="C796" s="66">
        <v>2.0</v>
      </c>
      <c r="D796" s="66">
        <v>0.0</v>
      </c>
      <c r="F796" s="66">
        <v>0.56</v>
      </c>
      <c r="G796" s="66">
        <v>0.353</v>
      </c>
      <c r="H796" s="66">
        <v>0.078</v>
      </c>
      <c r="I796" s="66">
        <v>0.053</v>
      </c>
      <c r="J796" s="66">
        <v>1.56</v>
      </c>
      <c r="K796" s="81">
        <f>AVERAGE(1.36,1.26,1.2,1.24)</f>
        <v>1.265</v>
      </c>
      <c r="L796" s="82">
        <v>44761.0</v>
      </c>
    </row>
    <row r="797">
      <c r="A797" s="66" t="s">
        <v>179</v>
      </c>
      <c r="B797" s="66">
        <v>2090.0</v>
      </c>
      <c r="C797" s="66">
        <v>3.0</v>
      </c>
      <c r="D797" s="66">
        <v>0.0</v>
      </c>
      <c r="F797" s="66">
        <v>1.012</v>
      </c>
      <c r="G797" s="66">
        <v>0.592</v>
      </c>
      <c r="H797" s="66">
        <v>0.192</v>
      </c>
      <c r="I797" s="66">
        <v>0.115</v>
      </c>
      <c r="J797" s="66">
        <v>2.11</v>
      </c>
      <c r="K797" s="81">
        <f>AVERAGE(1.79,1.52,1.63,1.71)</f>
        <v>1.6625</v>
      </c>
      <c r="L797" s="82">
        <v>44761.0</v>
      </c>
    </row>
    <row r="798">
      <c r="A798" s="66" t="s">
        <v>179</v>
      </c>
      <c r="B798" s="66">
        <v>2384.0</v>
      </c>
      <c r="C798" s="66">
        <v>3.0</v>
      </c>
      <c r="D798" s="66">
        <v>0.0</v>
      </c>
      <c r="F798" s="66">
        <v>0.264</v>
      </c>
      <c r="G798" s="66">
        <v>0.175</v>
      </c>
      <c r="H798" s="66">
        <v>0.016</v>
      </c>
      <c r="I798" s="66">
        <v>0.011</v>
      </c>
      <c r="J798" s="66">
        <v>0.6</v>
      </c>
      <c r="K798" s="81">
        <f>AVERAGE(0.7,0.9,0.95,0.85)</f>
        <v>0.85</v>
      </c>
      <c r="L798" s="82">
        <v>44761.0</v>
      </c>
    </row>
    <row r="799">
      <c r="A799" s="66" t="s">
        <v>179</v>
      </c>
      <c r="B799" s="66">
        <v>2028.0</v>
      </c>
      <c r="C799" s="66">
        <v>1.0</v>
      </c>
      <c r="D799" s="66">
        <v>0.0</v>
      </c>
      <c r="F799" s="66">
        <v>1.009</v>
      </c>
      <c r="G799" s="66">
        <v>0.596</v>
      </c>
      <c r="H799" s="66">
        <v>0.119</v>
      </c>
      <c r="I799" s="66">
        <v>0.074</v>
      </c>
      <c r="J799" s="66">
        <v>1.8</v>
      </c>
      <c r="K799" s="81">
        <f>AVERAGE(1.42,1.3,1.29,1.29)</f>
        <v>1.325</v>
      </c>
      <c r="L799" s="82">
        <v>44761.0</v>
      </c>
    </row>
    <row r="800">
      <c r="A800" s="66" t="s">
        <v>57</v>
      </c>
      <c r="B800" s="66">
        <v>2352.0</v>
      </c>
      <c r="C800" s="66">
        <v>3.0</v>
      </c>
      <c r="D800" s="66">
        <v>0.0</v>
      </c>
      <c r="F800" s="66">
        <v>0.198</v>
      </c>
      <c r="G800" s="66">
        <v>0.123</v>
      </c>
      <c r="H800" s="66">
        <v>0.018</v>
      </c>
      <c r="I800" s="66">
        <v>0.012</v>
      </c>
      <c r="J800" s="66">
        <v>1.68</v>
      </c>
      <c r="K800" s="81">
        <f>AVERAGE(0.88,0.88,0.91,0.99)</f>
        <v>0.915</v>
      </c>
      <c r="L800" s="82">
        <v>44761.0</v>
      </c>
    </row>
    <row r="801">
      <c r="A801" s="66" t="s">
        <v>57</v>
      </c>
      <c r="B801" s="66">
        <v>2089.0</v>
      </c>
      <c r="C801" s="66">
        <v>3.0</v>
      </c>
      <c r="D801" s="66">
        <v>1.0</v>
      </c>
      <c r="F801" s="66">
        <v>0.838</v>
      </c>
      <c r="G801" s="66">
        <v>0.533</v>
      </c>
      <c r="H801" s="66">
        <v>0.359</v>
      </c>
      <c r="I801" s="66">
        <v>0.238</v>
      </c>
      <c r="J801" s="66">
        <v>7.88</v>
      </c>
      <c r="K801" s="81">
        <f>AVERAGE(2.13,2.07,2.08,2.18)</f>
        <v>2.115</v>
      </c>
      <c r="L801" s="82">
        <v>44761.0</v>
      </c>
    </row>
    <row r="802">
      <c r="A802" s="66" t="s">
        <v>179</v>
      </c>
      <c r="B802" s="66">
        <v>2004.0</v>
      </c>
      <c r="C802" s="66">
        <v>3.0</v>
      </c>
      <c r="D802" s="66">
        <v>0.0</v>
      </c>
      <c r="F802" s="66">
        <v>0.495</v>
      </c>
      <c r="G802" s="66">
        <v>0.324</v>
      </c>
      <c r="H802" s="66">
        <v>0.118</v>
      </c>
      <c r="I802" s="66">
        <v>0.078</v>
      </c>
      <c r="J802" s="66">
        <v>1.84</v>
      </c>
      <c r="K802" s="81">
        <f>AVERAGE(1.31,1.16,1.15,1.33)</f>
        <v>1.2375</v>
      </c>
      <c r="L802" s="82">
        <v>44761.0</v>
      </c>
    </row>
    <row r="803">
      <c r="A803" s="66" t="s">
        <v>57</v>
      </c>
      <c r="B803" s="66">
        <v>2352.0</v>
      </c>
      <c r="C803" s="66">
        <v>2.0</v>
      </c>
      <c r="D803" s="66">
        <v>0.0</v>
      </c>
      <c r="F803" s="66">
        <v>0.375</v>
      </c>
      <c r="G803" s="66">
        <v>0.243</v>
      </c>
      <c r="H803" s="66">
        <v>0.02</v>
      </c>
      <c r="I803" s="66">
        <v>0.016</v>
      </c>
      <c r="J803" s="66">
        <v>1.66</v>
      </c>
      <c r="K803" s="81">
        <f>AVERAGE(0.78,0.87,0.89,0.99)</f>
        <v>0.8825</v>
      </c>
      <c r="L803" s="82">
        <v>44761.0</v>
      </c>
    </row>
    <row r="804">
      <c r="A804" s="66" t="s">
        <v>57</v>
      </c>
      <c r="B804" s="66">
        <v>2354.0</v>
      </c>
      <c r="C804" s="66">
        <v>2.0</v>
      </c>
      <c r="D804" s="66">
        <v>1.0</v>
      </c>
      <c r="F804" s="66">
        <v>0.749</v>
      </c>
      <c r="G804" s="66">
        <v>0.516</v>
      </c>
      <c r="H804" s="66">
        <v>0.145</v>
      </c>
      <c r="I804" s="66">
        <v>0.093</v>
      </c>
      <c r="J804" s="66">
        <v>5.64</v>
      </c>
      <c r="K804" s="81">
        <f>AVERAGE(1.57,1.46,1.41,1.56)</f>
        <v>1.5</v>
      </c>
      <c r="L804" s="82">
        <v>44761.0</v>
      </c>
    </row>
    <row r="805">
      <c r="A805" s="66" t="s">
        <v>179</v>
      </c>
      <c r="B805" s="66">
        <v>2371.0</v>
      </c>
      <c r="C805" s="66">
        <v>2.0</v>
      </c>
      <c r="D805" s="66">
        <v>0.0</v>
      </c>
      <c r="F805" s="66">
        <v>0.769</v>
      </c>
      <c r="G805" s="66">
        <v>0.484</v>
      </c>
      <c r="H805" s="66">
        <v>0.106</v>
      </c>
      <c r="I805" s="66">
        <v>0.069</v>
      </c>
      <c r="J805" s="66">
        <v>2.16</v>
      </c>
      <c r="K805" s="81">
        <f>AVERAGE(1.24,1.42,1.42,1.28)</f>
        <v>1.34</v>
      </c>
      <c r="L805" s="82">
        <v>44761.0</v>
      </c>
    </row>
    <row r="806">
      <c r="A806" s="66" t="s">
        <v>57</v>
      </c>
      <c r="B806" s="66">
        <v>2352.0</v>
      </c>
      <c r="C806" s="66">
        <v>6.0</v>
      </c>
      <c r="D806" s="66">
        <v>0.0</v>
      </c>
      <c r="F806" s="66">
        <v>0.25</v>
      </c>
      <c r="G806" s="66">
        <v>0.167</v>
      </c>
      <c r="H806" s="66">
        <v>0.027</v>
      </c>
      <c r="I806" s="66">
        <v>0.018</v>
      </c>
      <c r="J806" s="66">
        <v>1.83</v>
      </c>
      <c r="K806" s="81">
        <f>AVERAGE(0.78,0.89,0.9,0.8)</f>
        <v>0.8425</v>
      </c>
      <c r="L806" s="82">
        <v>44761.0</v>
      </c>
    </row>
    <row r="807">
      <c r="A807" s="66" t="s">
        <v>57</v>
      </c>
      <c r="B807" s="66">
        <v>2089.0</v>
      </c>
      <c r="C807" s="66">
        <v>1.0</v>
      </c>
      <c r="D807" s="66">
        <v>0.0</v>
      </c>
      <c r="E807" s="66">
        <v>1.0</v>
      </c>
      <c r="F807" s="66">
        <v>2.431</v>
      </c>
      <c r="G807" s="66">
        <v>1.476</v>
      </c>
      <c r="H807" s="66">
        <v>0.294</v>
      </c>
      <c r="I807" s="66">
        <v>0.187</v>
      </c>
      <c r="J807" s="66">
        <v>5.88</v>
      </c>
      <c r="K807" s="81">
        <f>AVERAGE(2.15,2.1,1.85,1.65)</f>
        <v>1.9375</v>
      </c>
      <c r="L807" s="82">
        <v>44761.0</v>
      </c>
    </row>
    <row r="808">
      <c r="A808" s="66" t="s">
        <v>57</v>
      </c>
      <c r="B808" s="66">
        <v>2023.0</v>
      </c>
      <c r="C808" s="66">
        <v>2.0</v>
      </c>
      <c r="D808" s="66">
        <v>0.0</v>
      </c>
      <c r="F808" s="66">
        <v>1.176</v>
      </c>
      <c r="G808" s="66">
        <v>0.744</v>
      </c>
      <c r="H808" s="66">
        <v>0.064</v>
      </c>
      <c r="I808" s="66">
        <v>0.043</v>
      </c>
      <c r="J808" s="66">
        <v>1.47</v>
      </c>
      <c r="K808" s="81">
        <f>AVERAGE(1.26,1.38,1.35,1.37)</f>
        <v>1.34</v>
      </c>
      <c r="L808" s="82">
        <v>44761.0</v>
      </c>
    </row>
    <row r="809">
      <c r="A809" s="66" t="s">
        <v>179</v>
      </c>
      <c r="B809" s="66">
        <v>2343.0</v>
      </c>
      <c r="C809" s="66">
        <v>2.0</v>
      </c>
      <c r="D809" s="66">
        <v>0.0</v>
      </c>
      <c r="F809" s="66">
        <v>1.24</v>
      </c>
      <c r="G809" s="66">
        <v>0.751</v>
      </c>
      <c r="H809" s="66">
        <v>0.161</v>
      </c>
      <c r="I809" s="66">
        <v>0.103</v>
      </c>
      <c r="J809" s="66">
        <v>1.86</v>
      </c>
      <c r="K809" s="81">
        <f>AVERAGE(1.51,1.53,1.61,1.59)</f>
        <v>1.56</v>
      </c>
      <c r="L809" s="82">
        <v>44761.0</v>
      </c>
    </row>
    <row r="810">
      <c r="A810" s="66" t="s">
        <v>179</v>
      </c>
      <c r="B810" s="66">
        <v>2375.0</v>
      </c>
      <c r="C810" s="66">
        <v>1.0</v>
      </c>
      <c r="D810" s="66">
        <v>0.0</v>
      </c>
      <c r="F810" s="66">
        <v>0.554</v>
      </c>
      <c r="G810" s="66">
        <v>0.349</v>
      </c>
      <c r="H810" s="66">
        <v>0.059</v>
      </c>
      <c r="I810" s="66">
        <v>0.042</v>
      </c>
      <c r="J810" s="66">
        <v>1.39</v>
      </c>
      <c r="K810" s="81">
        <f>AVERAGE(1.26,1.2,1.28,1.28)</f>
        <v>1.255</v>
      </c>
      <c r="L810" s="82">
        <v>44761.0</v>
      </c>
    </row>
    <row r="811">
      <c r="A811" s="66" t="s">
        <v>179</v>
      </c>
      <c r="B811" s="66">
        <v>2024.0</v>
      </c>
      <c r="C811" s="66">
        <v>2.0</v>
      </c>
      <c r="D811" s="66">
        <v>0.0</v>
      </c>
      <c r="F811" s="66">
        <v>0.599</v>
      </c>
      <c r="G811" s="66">
        <v>0.342</v>
      </c>
      <c r="H811" s="66">
        <v>0.093</v>
      </c>
      <c r="I811" s="66">
        <v>0.058</v>
      </c>
      <c r="J811" s="66">
        <v>1.7</v>
      </c>
      <c r="K811" s="81">
        <f>AVERAGE(1.41,1.44,1.47,1.58)</f>
        <v>1.475</v>
      </c>
      <c r="L811" s="82">
        <v>44761.0</v>
      </c>
    </row>
    <row r="812">
      <c r="A812" s="66" t="s">
        <v>179</v>
      </c>
      <c r="B812" s="66">
        <v>2369.0</v>
      </c>
      <c r="C812" s="66">
        <v>2.0</v>
      </c>
      <c r="D812" s="66">
        <v>0.0</v>
      </c>
      <c r="F812" s="66">
        <v>0.277</v>
      </c>
      <c r="G812" s="66">
        <v>0.191</v>
      </c>
      <c r="H812" s="66">
        <v>0.017</v>
      </c>
      <c r="I812" s="66">
        <v>0.012</v>
      </c>
      <c r="J812" s="66">
        <v>0.74</v>
      </c>
      <c r="K812" s="81">
        <f>AVERAGE(0.78,0.81,0.78,0.89)</f>
        <v>0.815</v>
      </c>
      <c r="L812" s="82">
        <v>44761.0</v>
      </c>
    </row>
    <row r="813">
      <c r="A813" s="66" t="s">
        <v>179</v>
      </c>
      <c r="B813" s="66">
        <v>2378.0</v>
      </c>
      <c r="C813" s="66">
        <v>3.0</v>
      </c>
      <c r="D813" s="66">
        <v>0.0</v>
      </c>
      <c r="F813" s="66">
        <v>1.201</v>
      </c>
      <c r="G813" s="66">
        <v>0.748</v>
      </c>
      <c r="H813" s="66">
        <v>0.207</v>
      </c>
      <c r="I813" s="66">
        <v>0.136</v>
      </c>
      <c r="J813" s="66">
        <v>3.66</v>
      </c>
      <c r="K813" s="81">
        <f>AVERAGE(1.41,1.61,1.71,1.61)</f>
        <v>1.585</v>
      </c>
      <c r="L813" s="82">
        <v>44761.0</v>
      </c>
    </row>
    <row r="814">
      <c r="A814" s="66" t="s">
        <v>57</v>
      </c>
      <c r="B814" s="66">
        <v>2331.0</v>
      </c>
      <c r="C814" s="66">
        <v>1.0</v>
      </c>
      <c r="D814" s="66">
        <v>1.0</v>
      </c>
      <c r="F814" s="66">
        <v>2.158</v>
      </c>
      <c r="G814" s="66">
        <v>1.51</v>
      </c>
      <c r="H814" s="66">
        <v>0.431</v>
      </c>
      <c r="I814" s="66">
        <v>0.314</v>
      </c>
      <c r="J814" s="66">
        <v>8.58</v>
      </c>
      <c r="K814" s="81">
        <f>AVERAGE(1.75,1.76,1.82,1.98)</f>
        <v>1.8275</v>
      </c>
      <c r="L814" s="82">
        <v>44761.0</v>
      </c>
    </row>
    <row r="815">
      <c r="A815" s="66" t="s">
        <v>179</v>
      </c>
      <c r="B815" s="66">
        <v>2010.0</v>
      </c>
      <c r="C815" s="66">
        <v>5.0</v>
      </c>
      <c r="D815" s="66">
        <v>0.0</v>
      </c>
      <c r="F815" s="66">
        <v>0.657</v>
      </c>
      <c r="G815" s="66">
        <v>0.394</v>
      </c>
      <c r="H815" s="66">
        <v>0.165</v>
      </c>
      <c r="I815" s="66">
        <v>0.104</v>
      </c>
      <c r="J815" s="66">
        <v>2.35</v>
      </c>
      <c r="K815" s="81">
        <f>AVERAGE(1.8,1.9,1.8,2)</f>
        <v>1.875</v>
      </c>
      <c r="L815" s="82">
        <v>44761.0</v>
      </c>
    </row>
    <row r="816">
      <c r="A816" s="66" t="s">
        <v>179</v>
      </c>
      <c r="B816" s="66">
        <v>2007.0</v>
      </c>
      <c r="C816" s="66">
        <v>3.0</v>
      </c>
      <c r="D816" s="66">
        <v>0.0</v>
      </c>
      <c r="F816" s="66">
        <v>0.472</v>
      </c>
      <c r="G816" s="66">
        <v>0.275</v>
      </c>
      <c r="H816" s="66">
        <v>0.064</v>
      </c>
      <c r="I816" s="66">
        <v>0.039</v>
      </c>
      <c r="J816" s="66">
        <v>1.32</v>
      </c>
      <c r="K816" s="81">
        <f>AVERAGE(1.04,1.2,1.17,1.16)</f>
        <v>1.1425</v>
      </c>
      <c r="L816" s="82">
        <v>44761.0</v>
      </c>
    </row>
    <row r="817">
      <c r="A817" s="66" t="s">
        <v>57</v>
      </c>
      <c r="B817" s="66">
        <v>2376.0</v>
      </c>
      <c r="C817" s="66">
        <v>1.0</v>
      </c>
      <c r="D817" s="66">
        <v>1.0</v>
      </c>
      <c r="F817" s="66">
        <v>1.031</v>
      </c>
      <c r="G817" s="66">
        <v>0.716</v>
      </c>
      <c r="H817" s="66">
        <v>0.126</v>
      </c>
      <c r="I817" s="66">
        <v>0.09</v>
      </c>
      <c r="J817" s="66">
        <v>3.72</v>
      </c>
      <c r="K817" s="81">
        <f>AVERAGE(1.62,1.62,1.79,1.53)</f>
        <v>1.64</v>
      </c>
      <c r="L817" s="82">
        <v>44761.0</v>
      </c>
    </row>
    <row r="818">
      <c r="A818" s="66" t="s">
        <v>179</v>
      </c>
      <c r="B818" s="66">
        <v>2010.0</v>
      </c>
      <c r="C818" s="66">
        <v>1.0</v>
      </c>
      <c r="D818" s="66">
        <v>0.0</v>
      </c>
      <c r="F818" s="66">
        <v>1.108</v>
      </c>
      <c r="G818" s="66">
        <v>0.673</v>
      </c>
      <c r="H818" s="66">
        <v>0.127</v>
      </c>
      <c r="I818" s="66">
        <v>0.083</v>
      </c>
      <c r="J818" s="66">
        <v>1.78</v>
      </c>
      <c r="K818" s="81">
        <f>AVERAGE(1.43,1.47, 1.43,1.37)</f>
        <v>1.425</v>
      </c>
      <c r="L818" s="82">
        <v>44761.0</v>
      </c>
    </row>
    <row r="819">
      <c r="A819" s="66" t="s">
        <v>57</v>
      </c>
      <c r="B819" s="66">
        <v>2393.0</v>
      </c>
      <c r="C819" s="66">
        <v>3.0</v>
      </c>
      <c r="D819" s="66">
        <v>1.0</v>
      </c>
      <c r="F819" s="66">
        <v>2.382</v>
      </c>
      <c r="G819" s="66">
        <v>1.555</v>
      </c>
      <c r="H819" s="66">
        <v>0.622</v>
      </c>
      <c r="I819" s="66">
        <v>0.404</v>
      </c>
      <c r="J819" s="66">
        <v>12.76</v>
      </c>
      <c r="K819" s="81">
        <f>AVERAGE(1.97, 2, 2.11,2.07)</f>
        <v>2.0375</v>
      </c>
      <c r="L819" s="82">
        <v>44761.0</v>
      </c>
    </row>
    <row r="820">
      <c r="A820" s="66" t="s">
        <v>179</v>
      </c>
      <c r="B820" s="66">
        <v>2090.0</v>
      </c>
      <c r="C820" s="66">
        <v>2.0</v>
      </c>
      <c r="D820" s="66">
        <v>0.0</v>
      </c>
      <c r="F820" s="66">
        <v>0.676</v>
      </c>
      <c r="G820" s="66">
        <v>0.388</v>
      </c>
      <c r="H820" s="66">
        <v>0.102</v>
      </c>
      <c r="I820" s="66">
        <v>0.063</v>
      </c>
      <c r="J820" s="66">
        <v>1.35</v>
      </c>
      <c r="K820" s="81">
        <f>AVERAGE(1.33,1.36,1.33,1.3)</f>
        <v>1.33</v>
      </c>
      <c r="L820" s="82">
        <v>44761.0</v>
      </c>
    </row>
    <row r="821">
      <c r="A821" s="66" t="s">
        <v>179</v>
      </c>
      <c r="B821" s="66">
        <v>2360.0</v>
      </c>
      <c r="C821" s="66">
        <v>1.0</v>
      </c>
      <c r="D821" s="66">
        <v>0.0</v>
      </c>
      <c r="F821" s="66">
        <v>0.449</v>
      </c>
      <c r="G821" s="66">
        <v>0.283</v>
      </c>
      <c r="H821" s="66">
        <v>0.031</v>
      </c>
      <c r="I821" s="66">
        <v>0.021</v>
      </c>
      <c r="J821" s="66">
        <v>0.95</v>
      </c>
      <c r="K821" s="81">
        <f>AVERAGE(1.1,1.12,1.14,1.06)</f>
        <v>1.105</v>
      </c>
      <c r="L821" s="82">
        <v>44761.0</v>
      </c>
    </row>
    <row r="822">
      <c r="A822" s="66" t="s">
        <v>179</v>
      </c>
      <c r="B822" s="66">
        <v>2004.0</v>
      </c>
      <c r="C822" s="66">
        <v>1.0</v>
      </c>
      <c r="D822" s="66">
        <v>0.0</v>
      </c>
      <c r="F822" s="66">
        <v>0.492</v>
      </c>
      <c r="G822" s="66">
        <v>0.299</v>
      </c>
      <c r="H822" s="66">
        <v>0.12</v>
      </c>
      <c r="I822" s="66">
        <v>0.073</v>
      </c>
      <c r="J822" s="66">
        <v>1.94</v>
      </c>
      <c r="K822" s="81">
        <f>AVERAGE(1.35,1.36,1.37,1.38)</f>
        <v>1.365</v>
      </c>
      <c r="L822" s="82">
        <v>44761.0</v>
      </c>
    </row>
    <row r="823">
      <c r="A823" s="66" t="s">
        <v>57</v>
      </c>
      <c r="B823" s="66">
        <v>2092.0</v>
      </c>
      <c r="C823" s="66">
        <v>2.0</v>
      </c>
      <c r="D823" s="66">
        <v>1.0</v>
      </c>
      <c r="F823" s="66">
        <v>1.136</v>
      </c>
      <c r="G823" s="66">
        <v>0.732</v>
      </c>
      <c r="H823" s="66">
        <v>0.171</v>
      </c>
      <c r="I823" s="66">
        <v>0.105</v>
      </c>
      <c r="J823" s="66">
        <v>2.88</v>
      </c>
      <c r="K823" s="81">
        <f>AVERAGE(1.64,1.68,1.58,1.72)</f>
        <v>1.655</v>
      </c>
      <c r="L823" s="82">
        <v>44761.0</v>
      </c>
    </row>
    <row r="824">
      <c r="A824" s="66" t="s">
        <v>179</v>
      </c>
      <c r="B824" s="66">
        <v>2024.0</v>
      </c>
      <c r="C824" s="66">
        <v>3.0</v>
      </c>
      <c r="D824" s="66">
        <v>0.0</v>
      </c>
      <c r="F824" s="66">
        <v>0.925</v>
      </c>
      <c r="G824" s="66">
        <v>0.54</v>
      </c>
      <c r="H824" s="66">
        <v>0.1</v>
      </c>
      <c r="I824" s="66">
        <v>0.063</v>
      </c>
      <c r="J824" s="66">
        <v>1.38</v>
      </c>
      <c r="K824" s="81">
        <f>AVERAGE(1.49,1.68,1.52,1.5)</f>
        <v>1.5475</v>
      </c>
      <c r="L824" s="82">
        <v>44761.0</v>
      </c>
    </row>
    <row r="825">
      <c r="A825" s="66" t="s">
        <v>57</v>
      </c>
      <c r="B825" s="66">
        <v>2345.0</v>
      </c>
      <c r="C825" s="66">
        <v>2.0</v>
      </c>
      <c r="D825" s="66">
        <v>1.0</v>
      </c>
      <c r="F825" s="66">
        <v>1.175</v>
      </c>
      <c r="G825" s="66">
        <v>0.762</v>
      </c>
      <c r="H825" s="66">
        <v>0.127</v>
      </c>
      <c r="I825" s="66">
        <v>0.083</v>
      </c>
      <c r="J825" s="66">
        <v>4.05</v>
      </c>
      <c r="K825" s="81">
        <f>AVERAGE(1.41,1.42,1.39,1.28)</f>
        <v>1.375</v>
      </c>
      <c r="L825" s="82">
        <v>44761.0</v>
      </c>
    </row>
    <row r="826">
      <c r="A826" s="66" t="s">
        <v>57</v>
      </c>
      <c r="B826" s="66">
        <v>2352.0</v>
      </c>
      <c r="C826" s="66">
        <v>5.0</v>
      </c>
      <c r="D826" s="66">
        <v>0.0</v>
      </c>
      <c r="F826" s="66">
        <v>0.186</v>
      </c>
      <c r="G826" s="66">
        <v>0.119</v>
      </c>
      <c r="H826" s="66">
        <v>0.018</v>
      </c>
      <c r="I826" s="66">
        <v>0.012</v>
      </c>
      <c r="J826" s="66">
        <v>1.56</v>
      </c>
      <c r="K826" s="81">
        <f>AVERAGE(0.97, 0.92,0.91,0.89)</f>
        <v>0.9225</v>
      </c>
      <c r="L826" s="82">
        <v>44761.0</v>
      </c>
    </row>
    <row r="827">
      <c r="A827" s="66" t="s">
        <v>179</v>
      </c>
      <c r="B827" s="66">
        <v>2347.0</v>
      </c>
      <c r="C827" s="66">
        <v>3.0</v>
      </c>
      <c r="D827" s="66">
        <v>0.0</v>
      </c>
      <c r="F827" s="66">
        <v>0.224</v>
      </c>
      <c r="G827" s="66">
        <v>0.138</v>
      </c>
      <c r="H827" s="66">
        <v>0.029</v>
      </c>
      <c r="I827" s="66">
        <v>0.019</v>
      </c>
      <c r="J827" s="66">
        <v>0.96</v>
      </c>
      <c r="K827" s="81">
        <f>AVERAGE(1.05,1.04,1.08,1.09)</f>
        <v>1.065</v>
      </c>
      <c r="L827" s="82">
        <v>44761.0</v>
      </c>
    </row>
    <row r="828">
      <c r="A828" s="66" t="s">
        <v>179</v>
      </c>
      <c r="B828" s="66">
        <v>2371.0</v>
      </c>
      <c r="C828" s="66">
        <v>1.0</v>
      </c>
      <c r="D828" s="66">
        <v>0.0</v>
      </c>
      <c r="F828" s="66">
        <v>0.301</v>
      </c>
      <c r="G828" s="66">
        <v>0.191</v>
      </c>
      <c r="H828" s="66">
        <v>0.026</v>
      </c>
      <c r="I828" s="66">
        <v>0.017</v>
      </c>
      <c r="J828" s="66">
        <v>1.0</v>
      </c>
      <c r="K828" s="81">
        <f>AVERAGE(0.79,0.93,0.96,0.73)</f>
        <v>0.8525</v>
      </c>
      <c r="L828" s="82">
        <v>44761.0</v>
      </c>
    </row>
    <row r="829">
      <c r="A829" s="66" t="s">
        <v>179</v>
      </c>
      <c r="B829" s="66">
        <v>2087.0</v>
      </c>
      <c r="C829" s="66">
        <v>3.0</v>
      </c>
      <c r="D829" s="66">
        <v>0.0</v>
      </c>
      <c r="F829" s="66">
        <v>0.529</v>
      </c>
      <c r="G829" s="66">
        <v>0.318</v>
      </c>
      <c r="H829" s="66">
        <v>0.061</v>
      </c>
      <c r="I829" s="66">
        <v>0.035</v>
      </c>
      <c r="J829" s="66">
        <v>1.04</v>
      </c>
      <c r="K829" s="81">
        <f>AVERAGE(1.55,1.4, 1.33,1.37)</f>
        <v>1.4125</v>
      </c>
      <c r="L829" s="82">
        <v>44761.0</v>
      </c>
    </row>
    <row r="830">
      <c r="A830" s="66" t="s">
        <v>179</v>
      </c>
      <c r="B830" s="66">
        <v>2088.0</v>
      </c>
      <c r="C830" s="66">
        <v>1.0</v>
      </c>
      <c r="D830" s="66">
        <v>0.0</v>
      </c>
      <c r="F830" s="66">
        <v>0.688</v>
      </c>
      <c r="G830" s="66">
        <v>0.392</v>
      </c>
      <c r="H830" s="66">
        <v>0.058</v>
      </c>
      <c r="I830" s="66">
        <v>0.034</v>
      </c>
      <c r="J830" s="66">
        <v>1.44</v>
      </c>
      <c r="K830" s="81">
        <f>AVERAGE(1.36,1.4,1.2,1.18)</f>
        <v>1.285</v>
      </c>
      <c r="L830" s="82">
        <v>44761.0</v>
      </c>
    </row>
    <row r="831">
      <c r="A831" s="66" t="s">
        <v>57</v>
      </c>
      <c r="B831" s="66">
        <v>2022.0</v>
      </c>
      <c r="C831" s="66">
        <v>2.0</v>
      </c>
      <c r="D831" s="66">
        <v>0.0</v>
      </c>
      <c r="F831" s="66">
        <v>1.884</v>
      </c>
      <c r="G831" s="66">
        <v>1.133</v>
      </c>
      <c r="H831" s="66">
        <v>0.101</v>
      </c>
      <c r="I831" s="66">
        <v>0.065</v>
      </c>
      <c r="J831" s="66">
        <v>2.54</v>
      </c>
      <c r="K831" s="81">
        <f>AVERAGE(1.51,1.36,1.38,1.54)</f>
        <v>1.4475</v>
      </c>
      <c r="L831" s="82">
        <v>44761.0</v>
      </c>
    </row>
    <row r="832">
      <c r="A832" s="66" t="s">
        <v>179</v>
      </c>
      <c r="B832" s="66">
        <v>2007.0</v>
      </c>
      <c r="C832" s="66">
        <v>1.0</v>
      </c>
      <c r="D832" s="66">
        <v>0.0</v>
      </c>
      <c r="F832" s="66">
        <v>0.866</v>
      </c>
      <c r="G832" s="66">
        <v>0.512</v>
      </c>
      <c r="H832" s="66">
        <v>0.117</v>
      </c>
      <c r="I832" s="66">
        <v>0.071</v>
      </c>
      <c r="J832" s="66">
        <v>2.44</v>
      </c>
      <c r="K832" s="81">
        <f>AVERAGE(0.97,1.09,1.23,1.3)</f>
        <v>1.1475</v>
      </c>
      <c r="L832" s="82">
        <v>44761.0</v>
      </c>
    </row>
    <row r="833">
      <c r="A833" s="66" t="s">
        <v>57</v>
      </c>
      <c r="B833" s="66">
        <v>2030.0</v>
      </c>
      <c r="C833" s="66">
        <v>1.0</v>
      </c>
      <c r="D833" s="66">
        <v>1.0</v>
      </c>
      <c r="F833" s="66">
        <v>0.75</v>
      </c>
      <c r="G833" s="66">
        <v>0.477</v>
      </c>
      <c r="H833" s="66">
        <v>0.164</v>
      </c>
      <c r="I833" s="66">
        <v>0.107</v>
      </c>
      <c r="J833" s="66">
        <v>4.58</v>
      </c>
      <c r="K833" s="81">
        <f>AVERAGE(1.65,1.58,1.44,1.67)</f>
        <v>1.585</v>
      </c>
      <c r="L833" s="82">
        <v>44761.0</v>
      </c>
    </row>
    <row r="834">
      <c r="A834" s="66" t="s">
        <v>179</v>
      </c>
      <c r="B834" s="66">
        <v>2369.0</v>
      </c>
      <c r="C834" s="66">
        <v>3.0</v>
      </c>
      <c r="D834" s="66">
        <v>0.0</v>
      </c>
      <c r="F834" s="66">
        <v>0.262</v>
      </c>
      <c r="G834" s="66">
        <v>0.177</v>
      </c>
      <c r="H834" s="66">
        <v>0.01</v>
      </c>
      <c r="I834" s="66">
        <v>0.006</v>
      </c>
      <c r="J834" s="66">
        <v>0.49</v>
      </c>
      <c r="K834" s="81">
        <f>AVERAGE(0.77,0.79,0.86,0.82)</f>
        <v>0.81</v>
      </c>
      <c r="L834" s="82">
        <v>44761.0</v>
      </c>
    </row>
    <row r="835">
      <c r="A835" s="66" t="s">
        <v>179</v>
      </c>
      <c r="B835" s="66">
        <v>2026.0</v>
      </c>
      <c r="C835" s="66">
        <v>2.0</v>
      </c>
      <c r="D835" s="66">
        <v>0.0</v>
      </c>
      <c r="F835" s="66">
        <v>0.386</v>
      </c>
      <c r="G835" s="66">
        <v>0.238</v>
      </c>
      <c r="H835" s="66">
        <v>0.075</v>
      </c>
      <c r="I835" s="66">
        <v>0.051</v>
      </c>
      <c r="J835" s="66">
        <v>1.68</v>
      </c>
      <c r="K835" s="81">
        <f>AVERAGE(1.15,1.2,1.26,1.22)</f>
        <v>1.2075</v>
      </c>
      <c r="L835" s="82">
        <v>44761.0</v>
      </c>
    </row>
    <row r="836">
      <c r="A836" s="66" t="s">
        <v>179</v>
      </c>
      <c r="B836" s="66">
        <v>2012.0</v>
      </c>
      <c r="C836" s="66">
        <v>1.0</v>
      </c>
      <c r="D836" s="66">
        <v>0.0</v>
      </c>
      <c r="F836" s="66">
        <v>0.767</v>
      </c>
      <c r="G836" s="66">
        <v>0.458</v>
      </c>
      <c r="H836" s="66">
        <v>0.144</v>
      </c>
      <c r="I836" s="66">
        <v>0.091</v>
      </c>
      <c r="J836" s="66">
        <v>3.28</v>
      </c>
      <c r="K836" s="81">
        <f>AVERAGE(1.38,1.35,1.35,1.45)</f>
        <v>1.3825</v>
      </c>
      <c r="L836" s="82">
        <v>44761.0</v>
      </c>
    </row>
    <row r="837">
      <c r="A837" s="66" t="s">
        <v>57</v>
      </c>
      <c r="B837" s="66">
        <v>2352.0</v>
      </c>
      <c r="C837" s="66">
        <v>4.0</v>
      </c>
      <c r="D837" s="66">
        <v>0.0</v>
      </c>
      <c r="F837" s="66">
        <v>0.287</v>
      </c>
      <c r="G837" s="66">
        <v>0.185</v>
      </c>
      <c r="H837" s="66">
        <v>0.022</v>
      </c>
      <c r="I837" s="66">
        <v>0.014</v>
      </c>
      <c r="J837" s="66">
        <v>1.82</v>
      </c>
      <c r="K837" s="81">
        <f>AVERAGE(0.75,0.95,0.86,0.96)</f>
        <v>0.88</v>
      </c>
      <c r="L837" s="82">
        <v>44761.0</v>
      </c>
    </row>
    <row r="838">
      <c r="A838" s="66" t="s">
        <v>57</v>
      </c>
      <c r="B838" s="66">
        <v>2331.0</v>
      </c>
      <c r="C838" s="66">
        <v>2.0</v>
      </c>
      <c r="D838" s="66">
        <v>1.0</v>
      </c>
      <c r="F838" s="66">
        <v>1.039</v>
      </c>
      <c r="G838" s="66">
        <v>0.706</v>
      </c>
      <c r="H838" s="66">
        <v>0.129</v>
      </c>
      <c r="I838" s="66">
        <v>0.094</v>
      </c>
      <c r="J838" s="66">
        <v>3.61</v>
      </c>
      <c r="K838" s="81">
        <f>AVERAGE(1.38,1.61,1.63,1.51)</f>
        <v>1.5325</v>
      </c>
      <c r="L838" s="82">
        <v>44761.0</v>
      </c>
    </row>
    <row r="839">
      <c r="A839" s="66" t="s">
        <v>179</v>
      </c>
      <c r="B839" s="66">
        <v>2006.0</v>
      </c>
      <c r="C839" s="66">
        <v>1.0</v>
      </c>
      <c r="D839" s="66">
        <v>0.0</v>
      </c>
      <c r="F839" s="66">
        <v>0.459</v>
      </c>
      <c r="G839" s="66">
        <v>0.267</v>
      </c>
      <c r="H839" s="66">
        <v>0.059</v>
      </c>
      <c r="I839" s="66">
        <v>0.038</v>
      </c>
      <c r="J839" s="66">
        <v>1.12</v>
      </c>
      <c r="K839" s="81">
        <f>AVERAGE(1.06,1.14,1.26,1.16)</f>
        <v>1.155</v>
      </c>
      <c r="L839" s="82">
        <v>44761.0</v>
      </c>
    </row>
    <row r="840">
      <c r="A840" s="66" t="s">
        <v>179</v>
      </c>
      <c r="B840" s="66">
        <v>2347.0</v>
      </c>
      <c r="C840" s="66">
        <v>2.0</v>
      </c>
      <c r="D840" s="66">
        <v>0.0</v>
      </c>
      <c r="F840" s="66">
        <v>0.809</v>
      </c>
      <c r="G840" s="66">
        <v>0.504</v>
      </c>
      <c r="H840" s="66">
        <v>0.052</v>
      </c>
      <c r="I840" s="66">
        <v>0.036</v>
      </c>
      <c r="J840" s="66">
        <v>1.05</v>
      </c>
      <c r="K840" s="81">
        <f>AVERAGE(1.14,1.1,1.07,1.17)</f>
        <v>1.12</v>
      </c>
      <c r="L840" s="82">
        <v>44761.0</v>
      </c>
    </row>
    <row r="841">
      <c r="A841" s="66" t="s">
        <v>57</v>
      </c>
      <c r="B841" s="66">
        <v>2030.0</v>
      </c>
      <c r="C841" s="66">
        <v>2.0</v>
      </c>
      <c r="D841" s="66">
        <v>1.0</v>
      </c>
      <c r="F841" s="66">
        <v>1.014</v>
      </c>
      <c r="G841" s="66">
        <v>0.653</v>
      </c>
      <c r="H841" s="66">
        <v>0.165</v>
      </c>
      <c r="I841" s="66">
        <v>0.103</v>
      </c>
      <c r="J841" s="66">
        <v>5.07</v>
      </c>
      <c r="K841" s="81">
        <f>AVERAGE(1.56,1.41,1.35,1.31)</f>
        <v>1.4075</v>
      </c>
      <c r="L841" s="82">
        <v>44761.0</v>
      </c>
    </row>
    <row r="842">
      <c r="A842" s="66" t="s">
        <v>57</v>
      </c>
      <c r="B842" s="66">
        <v>2029.0</v>
      </c>
      <c r="C842" s="66">
        <v>2.0</v>
      </c>
      <c r="D842" s="66">
        <v>0.0</v>
      </c>
      <c r="F842" s="66">
        <v>0.903</v>
      </c>
      <c r="G842" s="66">
        <v>0.566</v>
      </c>
      <c r="H842" s="66">
        <v>0.026</v>
      </c>
      <c r="I842" s="66">
        <v>0.018</v>
      </c>
      <c r="J842" s="66">
        <v>1.39</v>
      </c>
      <c r="K842" s="81">
        <f>AVERAGE(1.01,0.96,1.01,0.94)</f>
        <v>0.98</v>
      </c>
      <c r="L842" s="82">
        <v>44761.0</v>
      </c>
    </row>
    <row r="843">
      <c r="A843" s="66" t="s">
        <v>57</v>
      </c>
      <c r="B843" s="66">
        <v>2089.0</v>
      </c>
      <c r="C843" s="66">
        <v>1.0</v>
      </c>
      <c r="D843" s="66">
        <v>1.0</v>
      </c>
      <c r="F843" s="66">
        <v>1.387</v>
      </c>
      <c r="G843" s="66">
        <v>0.89</v>
      </c>
      <c r="H843" s="66">
        <v>0.914</v>
      </c>
      <c r="I843" s="66">
        <v>0.608</v>
      </c>
      <c r="J843" s="66">
        <v>9.08</v>
      </c>
      <c r="K843" s="81">
        <f>AVERAGE(2.79,2.97,2.94,2.83)</f>
        <v>2.8825</v>
      </c>
      <c r="L843" s="82">
        <v>44761.0</v>
      </c>
    </row>
    <row r="844">
      <c r="A844" s="66" t="s">
        <v>179</v>
      </c>
      <c r="B844" s="66">
        <v>2383.0</v>
      </c>
      <c r="C844" s="66">
        <v>3.0</v>
      </c>
      <c r="D844" s="66">
        <v>0.0</v>
      </c>
      <c r="F844" s="66">
        <v>0.432</v>
      </c>
      <c r="G844" s="66">
        <v>0.282</v>
      </c>
      <c r="H844" s="66">
        <v>0.035</v>
      </c>
      <c r="I844" s="66">
        <v>0.024</v>
      </c>
      <c r="J844" s="66">
        <v>1.13</v>
      </c>
      <c r="K844" s="81">
        <f>AVERAGE(1.07,1.01,0.96,1.05)</f>
        <v>1.0225</v>
      </c>
      <c r="L844" s="82">
        <v>44761.0</v>
      </c>
    </row>
    <row r="845">
      <c r="A845" s="66" t="s">
        <v>179</v>
      </c>
      <c r="B845" s="66">
        <v>2383.0</v>
      </c>
      <c r="C845" s="66">
        <v>2.0</v>
      </c>
      <c r="D845" s="66">
        <v>0.0</v>
      </c>
      <c r="F845" s="66">
        <v>0.363</v>
      </c>
      <c r="G845" s="66">
        <v>0.232</v>
      </c>
      <c r="H845" s="66">
        <v>0.044</v>
      </c>
      <c r="I845" s="66">
        <v>0.031</v>
      </c>
      <c r="J845" s="66">
        <v>1.39</v>
      </c>
      <c r="K845" s="81">
        <f>AVERAGE(1.09,1.07,1.11,1.09)</f>
        <v>1.09</v>
      </c>
      <c r="L845" s="82">
        <v>44761.0</v>
      </c>
    </row>
    <row r="846">
      <c r="A846" s="66" t="s">
        <v>179</v>
      </c>
      <c r="B846" s="66">
        <v>2005.0</v>
      </c>
      <c r="C846" s="66">
        <v>3.0</v>
      </c>
      <c r="D846" s="66">
        <v>0.0</v>
      </c>
      <c r="F846" s="66">
        <v>1.079</v>
      </c>
      <c r="G846" s="66">
        <v>0.631</v>
      </c>
      <c r="H846" s="66">
        <v>0.19</v>
      </c>
      <c r="I846" s="66">
        <v>0.12</v>
      </c>
      <c r="J846" s="66">
        <v>2.5</v>
      </c>
      <c r="K846" s="81">
        <f>AVERAGE(1.46,1.57,1.53,1.54)</f>
        <v>1.525</v>
      </c>
      <c r="L846" s="82">
        <v>44761.0</v>
      </c>
    </row>
    <row r="847">
      <c r="A847" s="66" t="s">
        <v>179</v>
      </c>
      <c r="B847" s="66">
        <v>2005.0</v>
      </c>
      <c r="C847" s="66">
        <v>2.0</v>
      </c>
      <c r="D847" s="66">
        <v>0.0</v>
      </c>
      <c r="F847" s="66">
        <v>1.653</v>
      </c>
      <c r="G847" s="66">
        <v>0.95</v>
      </c>
      <c r="H847" s="66">
        <v>0.181</v>
      </c>
      <c r="I847" s="66">
        <v>0.113</v>
      </c>
      <c r="J847" s="66">
        <v>2.45</v>
      </c>
      <c r="K847" s="81">
        <f>AVERAGE(1.44,1.34,1.32,1.5)</f>
        <v>1.4</v>
      </c>
      <c r="L847" s="82">
        <v>44761.0</v>
      </c>
    </row>
    <row r="848">
      <c r="A848" s="66" t="s">
        <v>179</v>
      </c>
      <c r="B848" s="66">
        <v>2004.0</v>
      </c>
      <c r="C848" s="66">
        <v>2.0</v>
      </c>
      <c r="D848" s="66">
        <v>0.0</v>
      </c>
      <c r="F848" s="66">
        <v>0.326</v>
      </c>
      <c r="G848" s="66">
        <v>0.198</v>
      </c>
      <c r="H848" s="66">
        <v>0.105</v>
      </c>
      <c r="I848" s="66">
        <v>0.062</v>
      </c>
      <c r="J848" s="66">
        <v>1.85</v>
      </c>
      <c r="K848" s="81">
        <f>AVERAGE(1.14,1.19,1.23,1.32)</f>
        <v>1.22</v>
      </c>
      <c r="L848" s="82">
        <v>44761.0</v>
      </c>
    </row>
    <row r="849">
      <c r="A849" s="66" t="s">
        <v>179</v>
      </c>
      <c r="B849" s="66">
        <v>2086.0</v>
      </c>
      <c r="C849" s="66">
        <v>3.0</v>
      </c>
      <c r="D849" s="66">
        <v>0.0</v>
      </c>
      <c r="F849" s="66">
        <v>0.731</v>
      </c>
      <c r="G849" s="66">
        <v>0.444</v>
      </c>
      <c r="H849" s="66">
        <v>0.115</v>
      </c>
      <c r="I849" s="66">
        <v>0.075</v>
      </c>
      <c r="J849" s="66">
        <v>1.62</v>
      </c>
      <c r="K849" s="81">
        <f>AVERAGE(1.69,1.59,1.67,1.79)</f>
        <v>1.685</v>
      </c>
      <c r="L849" s="82">
        <v>44761.0</v>
      </c>
    </row>
    <row r="850">
      <c r="A850" s="66" t="s">
        <v>57</v>
      </c>
      <c r="B850" s="66">
        <v>2091.0</v>
      </c>
      <c r="C850" s="66">
        <v>2.0</v>
      </c>
      <c r="D850" s="66">
        <v>0.0</v>
      </c>
      <c r="F850" s="66">
        <v>1.155</v>
      </c>
      <c r="G850" s="66">
        <v>0.726</v>
      </c>
      <c r="H850" s="66">
        <v>0.146</v>
      </c>
      <c r="I850" s="66">
        <v>0.092</v>
      </c>
      <c r="J850" s="66">
        <v>2.35</v>
      </c>
      <c r="K850" s="81">
        <f>AVERAGE(1.83,1.8,1.75,1.82)</f>
        <v>1.8</v>
      </c>
      <c r="L850" s="82">
        <v>44761.0</v>
      </c>
    </row>
    <row r="851">
      <c r="A851" s="66" t="s">
        <v>179</v>
      </c>
      <c r="B851" s="66">
        <v>1478.0</v>
      </c>
      <c r="C851" s="66">
        <v>2.0</v>
      </c>
      <c r="D851" s="66">
        <v>0.0</v>
      </c>
      <c r="F851" s="66">
        <v>0.995</v>
      </c>
      <c r="G851" s="66">
        <v>0.52</v>
      </c>
      <c r="H851" s="66">
        <v>0.347</v>
      </c>
      <c r="I851" s="66">
        <v>0.187</v>
      </c>
      <c r="J851" s="66">
        <v>4.11</v>
      </c>
      <c r="K851" s="81">
        <f>AVERAGE(1.93,1.71,1.84,2.04)</f>
        <v>1.88</v>
      </c>
      <c r="L851" s="82">
        <v>44761.0</v>
      </c>
    </row>
    <row r="852">
      <c r="A852" s="66" t="s">
        <v>57</v>
      </c>
      <c r="B852" s="66">
        <v>2092.0</v>
      </c>
      <c r="C852" s="66">
        <v>3.0</v>
      </c>
      <c r="D852" s="66">
        <v>0.0</v>
      </c>
      <c r="F852" s="66">
        <v>0.618</v>
      </c>
      <c r="G852" s="66">
        <v>0.378</v>
      </c>
      <c r="H852" s="66">
        <v>0.036</v>
      </c>
      <c r="I852" s="66">
        <v>0.022</v>
      </c>
      <c r="J852" s="66">
        <v>1.19</v>
      </c>
      <c r="K852" s="81">
        <f>AVERAGE(0.92,0.88,1.08,1.12)</f>
        <v>1</v>
      </c>
      <c r="L852" s="82">
        <v>44761.0</v>
      </c>
    </row>
    <row r="853">
      <c r="A853" s="66" t="s">
        <v>57</v>
      </c>
      <c r="B853" s="66">
        <v>2030.0</v>
      </c>
      <c r="C853" s="66">
        <v>3.0</v>
      </c>
      <c r="D853" s="66">
        <v>0.0</v>
      </c>
      <c r="F853" s="66">
        <v>1.179</v>
      </c>
      <c r="G853" s="66">
        <v>0.768</v>
      </c>
      <c r="H853" s="66">
        <v>0.152</v>
      </c>
      <c r="I853" s="66">
        <v>0.098</v>
      </c>
      <c r="J853" s="66">
        <v>4.62</v>
      </c>
      <c r="K853" s="81">
        <f>AVERAGE(1.38,1.25,1.38,1.45)</f>
        <v>1.365</v>
      </c>
      <c r="L853" s="82">
        <v>44761.0</v>
      </c>
    </row>
    <row r="854">
      <c r="A854" s="66" t="s">
        <v>179</v>
      </c>
      <c r="B854" s="66">
        <v>1478.0</v>
      </c>
      <c r="C854" s="66">
        <v>3.0</v>
      </c>
      <c r="D854" s="66">
        <v>0.0</v>
      </c>
      <c r="F854" s="66">
        <v>0.499</v>
      </c>
      <c r="G854" s="66">
        <v>0.292</v>
      </c>
      <c r="H854" s="66">
        <v>0.125</v>
      </c>
      <c r="I854" s="66">
        <v>0.067</v>
      </c>
      <c r="J854" s="66">
        <v>2.55</v>
      </c>
      <c r="K854" s="81">
        <f>AVERAGE(1.69,1.42,1.37,1.89)</f>
        <v>1.5925</v>
      </c>
      <c r="L854" s="82">
        <v>44761.0</v>
      </c>
    </row>
    <row r="855">
      <c r="A855" s="66" t="s">
        <v>57</v>
      </c>
      <c r="B855" s="66">
        <v>2022.0</v>
      </c>
      <c r="C855" s="66">
        <v>3.0</v>
      </c>
      <c r="D855" s="66">
        <v>0.0</v>
      </c>
      <c r="F855" s="66">
        <v>1.936</v>
      </c>
      <c r="G855" s="66">
        <v>1.178</v>
      </c>
      <c r="H855" s="66">
        <v>0.127</v>
      </c>
      <c r="I855" s="66">
        <v>0.077</v>
      </c>
      <c r="J855" s="66">
        <v>2.95</v>
      </c>
      <c r="K855" s="81">
        <f>AVERAGE(1.34,1.39,1.34,1.33)</f>
        <v>1.35</v>
      </c>
      <c r="L855" s="82">
        <v>44761.0</v>
      </c>
    </row>
    <row r="856">
      <c r="A856" s="66" t="s">
        <v>179</v>
      </c>
      <c r="B856" s="66">
        <v>2015.0</v>
      </c>
      <c r="C856" s="66">
        <v>3.0</v>
      </c>
      <c r="D856" s="66">
        <v>0.0</v>
      </c>
      <c r="F856" s="66">
        <v>0.632</v>
      </c>
      <c r="G856" s="66">
        <v>0.354</v>
      </c>
      <c r="H856" s="66">
        <v>0.057</v>
      </c>
      <c r="I856" s="66">
        <v>0.033</v>
      </c>
      <c r="J856" s="66">
        <v>1.73</v>
      </c>
      <c r="K856" s="81">
        <f>AVERAGE(1.23,1.29,1.28,1.38)</f>
        <v>1.295</v>
      </c>
      <c r="L856" s="82">
        <v>44761.0</v>
      </c>
    </row>
    <row r="857">
      <c r="A857" s="66" t="s">
        <v>179</v>
      </c>
      <c r="B857" s="66">
        <v>2012.0</v>
      </c>
      <c r="C857" s="66">
        <v>2.0</v>
      </c>
      <c r="D857" s="66">
        <v>0.0</v>
      </c>
      <c r="F857" s="66">
        <v>0.404</v>
      </c>
      <c r="G857" s="66">
        <v>0.247</v>
      </c>
      <c r="H857" s="66">
        <v>0.055</v>
      </c>
      <c r="I857" s="66">
        <v>0.035</v>
      </c>
      <c r="J857" s="66">
        <v>1.5</v>
      </c>
      <c r="K857" s="81">
        <f>AVERAGE(1.02,1.12,0.96,0.88)</f>
        <v>0.995</v>
      </c>
      <c r="L857" s="82">
        <v>44761.0</v>
      </c>
    </row>
    <row r="858">
      <c r="A858" s="66" t="s">
        <v>179</v>
      </c>
      <c r="B858" s="66">
        <v>2370.0</v>
      </c>
      <c r="C858" s="66">
        <v>1.0</v>
      </c>
      <c r="D858" s="66">
        <v>0.0</v>
      </c>
      <c r="F858" s="66">
        <v>0.235</v>
      </c>
      <c r="G858" s="66">
        <v>0.156</v>
      </c>
      <c r="H858" s="66">
        <v>0.021</v>
      </c>
      <c r="I858" s="66">
        <v>0.013</v>
      </c>
      <c r="J858" s="66">
        <v>0.92</v>
      </c>
      <c r="K858" s="81">
        <f>AVERAGE(0.72,0.64,0.79,0.82)</f>
        <v>0.7425</v>
      </c>
      <c r="L858" s="82">
        <v>44761.0</v>
      </c>
    </row>
    <row r="859">
      <c r="A859" s="66" t="s">
        <v>179</v>
      </c>
      <c r="B859" s="66">
        <v>2381.0</v>
      </c>
      <c r="C859" s="66">
        <v>1.0</v>
      </c>
      <c r="D859" s="66">
        <v>0.0</v>
      </c>
      <c r="F859" s="66">
        <v>1.021</v>
      </c>
      <c r="G859" s="66">
        <v>0.633</v>
      </c>
      <c r="H859" s="66">
        <v>0.062</v>
      </c>
      <c r="I859" s="66">
        <v>0.041</v>
      </c>
      <c r="J859" s="66">
        <v>1.04</v>
      </c>
      <c r="K859" s="81">
        <f>AVERAGE(1.12,1.16,1.18,1.38)</f>
        <v>1.21</v>
      </c>
      <c r="L859" s="82">
        <v>44761.0</v>
      </c>
    </row>
    <row r="860">
      <c r="A860" s="66" t="s">
        <v>179</v>
      </c>
      <c r="B860" s="66">
        <v>2028.0</v>
      </c>
      <c r="C860" s="66">
        <v>3.0</v>
      </c>
      <c r="D860" s="66">
        <v>0.0</v>
      </c>
      <c r="F860" s="66">
        <v>0.835</v>
      </c>
      <c r="G860" s="66">
        <v>0.523</v>
      </c>
      <c r="H860" s="66">
        <v>0.075</v>
      </c>
      <c r="I860" s="66">
        <v>0.051</v>
      </c>
      <c r="J860" s="66">
        <v>1.36</v>
      </c>
      <c r="K860" s="81">
        <f>AVERAGE(1.34,1.38,1.31,1.29)</f>
        <v>1.33</v>
      </c>
      <c r="L860" s="82">
        <v>44761.0</v>
      </c>
    </row>
    <row r="861">
      <c r="A861" s="66" t="s">
        <v>57</v>
      </c>
      <c r="B861" s="66">
        <v>2092.0</v>
      </c>
      <c r="C861" s="66">
        <v>1.0</v>
      </c>
      <c r="D861" s="66">
        <v>0.0</v>
      </c>
      <c r="E861" s="66" t="s">
        <v>181</v>
      </c>
      <c r="F861" s="66">
        <v>0.976</v>
      </c>
      <c r="G861" s="66">
        <v>0.622</v>
      </c>
      <c r="H861" s="66">
        <v>0.113</v>
      </c>
      <c r="I861" s="66">
        <v>0.067</v>
      </c>
      <c r="J861" s="66">
        <v>3.39</v>
      </c>
      <c r="K861" s="81">
        <f>AVERAGE(1.33,1.38,1.41,1.38)</f>
        <v>1.375</v>
      </c>
      <c r="L861" s="82">
        <v>44761.0</v>
      </c>
      <c r="M861" s="66" t="s">
        <v>187</v>
      </c>
    </row>
    <row r="862">
      <c r="A862" s="66" t="s">
        <v>179</v>
      </c>
      <c r="B862" s="66">
        <v>2346.0</v>
      </c>
      <c r="C862" s="66">
        <v>3.0</v>
      </c>
      <c r="D862" s="66">
        <v>0.0</v>
      </c>
      <c r="F862" s="66">
        <v>0.273</v>
      </c>
      <c r="G862" s="66">
        <v>0.178</v>
      </c>
      <c r="H862" s="66">
        <v>0.017</v>
      </c>
      <c r="I862" s="66">
        <v>0.012</v>
      </c>
      <c r="J862" s="66">
        <v>0.69</v>
      </c>
      <c r="K862" s="81">
        <f>AVERAGE(0.79,0.79,0.79,0.76)</f>
        <v>0.7825</v>
      </c>
      <c r="L862" s="82">
        <v>44761.0</v>
      </c>
    </row>
    <row r="863">
      <c r="A863" s="66" t="s">
        <v>179</v>
      </c>
      <c r="B863" s="66">
        <v>2007.0</v>
      </c>
      <c r="C863" s="66">
        <v>2.0</v>
      </c>
      <c r="D863" s="66">
        <v>0.0</v>
      </c>
      <c r="F863" s="66">
        <v>0.507</v>
      </c>
      <c r="G863" s="66">
        <v>0.297</v>
      </c>
      <c r="H863" s="66">
        <v>0.045</v>
      </c>
      <c r="I863" s="66">
        <v>0.027</v>
      </c>
      <c r="J863" s="66">
        <v>1.14</v>
      </c>
      <c r="K863" s="81">
        <f>AVERAGE(1.1,1.1,1.06,0.93)</f>
        <v>1.0475</v>
      </c>
      <c r="L863" s="82">
        <v>44761.0</v>
      </c>
    </row>
    <row r="864">
      <c r="A864" s="66" t="s">
        <v>179</v>
      </c>
      <c r="B864" s="66">
        <v>2010.0</v>
      </c>
      <c r="C864" s="66">
        <v>3.0</v>
      </c>
      <c r="D864" s="66">
        <v>0.0</v>
      </c>
      <c r="F864" s="66">
        <v>0.859</v>
      </c>
      <c r="G864" s="66">
        <v>0.525</v>
      </c>
      <c r="H864" s="66">
        <v>0.114</v>
      </c>
      <c r="I864" s="66">
        <v>0.075</v>
      </c>
      <c r="J864" s="66">
        <v>1.53</v>
      </c>
      <c r="K864" s="81">
        <f>AVERAGE(1.57,1.53,1.52,1.48)</f>
        <v>1.525</v>
      </c>
      <c r="L864" s="82">
        <v>44761.0</v>
      </c>
    </row>
    <row r="865">
      <c r="A865" s="66" t="s">
        <v>179</v>
      </c>
      <c r="B865" s="66">
        <v>2370.0</v>
      </c>
      <c r="C865" s="66">
        <v>2.0</v>
      </c>
      <c r="D865" s="66">
        <v>0.0</v>
      </c>
      <c r="F865" s="66">
        <v>0.342</v>
      </c>
      <c r="G865" s="66">
        <v>0.217</v>
      </c>
      <c r="H865" s="66">
        <v>0.021</v>
      </c>
      <c r="I865" s="66">
        <v>0.014</v>
      </c>
      <c r="J865" s="66">
        <v>0.79</v>
      </c>
      <c r="K865" s="81">
        <f>AVERAGE(0.87,0.77,0.96,0.93)</f>
        <v>0.8825</v>
      </c>
      <c r="L865" s="82">
        <v>44761.0</v>
      </c>
    </row>
    <row r="866">
      <c r="A866" s="66" t="s">
        <v>179</v>
      </c>
      <c r="B866" s="66">
        <v>2027.0</v>
      </c>
      <c r="C866" s="66">
        <v>2.0</v>
      </c>
      <c r="D866" s="66">
        <v>0.0</v>
      </c>
      <c r="F866" s="66">
        <v>0.256</v>
      </c>
      <c r="G866" s="66">
        <v>0.155</v>
      </c>
      <c r="H866" s="66">
        <v>0.019</v>
      </c>
      <c r="I866" s="66">
        <v>0.012</v>
      </c>
      <c r="J866" s="66">
        <v>0.76</v>
      </c>
      <c r="K866" s="81">
        <f>AVERAGE(0.89,0.9,1,1.03)</f>
        <v>0.955</v>
      </c>
      <c r="L866" s="82">
        <v>44761.0</v>
      </c>
    </row>
    <row r="867">
      <c r="A867" s="66" t="s">
        <v>179</v>
      </c>
      <c r="B867" s="66">
        <v>2347.0</v>
      </c>
      <c r="C867" s="66">
        <v>1.0</v>
      </c>
      <c r="D867" s="66">
        <v>0.0</v>
      </c>
      <c r="F867" s="66">
        <v>0.562</v>
      </c>
      <c r="G867" s="66">
        <v>0.348</v>
      </c>
      <c r="H867" s="66">
        <v>0.038</v>
      </c>
      <c r="I867" s="66">
        <v>0.026</v>
      </c>
      <c r="J867" s="66">
        <v>0.99</v>
      </c>
      <c r="K867" s="81">
        <f>AVERAGE(1,1.03,1,1.01)</f>
        <v>1.01</v>
      </c>
      <c r="L867" s="82">
        <v>44761.0</v>
      </c>
    </row>
    <row r="868">
      <c r="A868" s="66" t="s">
        <v>179</v>
      </c>
      <c r="B868" s="66">
        <v>2382.0</v>
      </c>
      <c r="C868" s="66">
        <v>2.0</v>
      </c>
      <c r="D868" s="66">
        <v>0.0</v>
      </c>
      <c r="F868" s="66">
        <v>0.77</v>
      </c>
      <c r="G868" s="66">
        <v>0.502</v>
      </c>
      <c r="H868" s="66">
        <v>0.408</v>
      </c>
      <c r="I868" s="66">
        <v>0.273</v>
      </c>
      <c r="J868" s="66">
        <v>5.94</v>
      </c>
      <c r="K868" s="81">
        <f>AVERAGE(1.85,1.96,1.74,1.82)</f>
        <v>1.8425</v>
      </c>
      <c r="L868" s="82">
        <v>44761.0</v>
      </c>
    </row>
    <row r="869">
      <c r="A869" s="66" t="s">
        <v>179</v>
      </c>
      <c r="B869" s="66">
        <v>2085.0</v>
      </c>
      <c r="C869" s="66">
        <v>3.0</v>
      </c>
      <c r="D869" s="66">
        <v>0.0</v>
      </c>
      <c r="F869" s="66">
        <v>0.512</v>
      </c>
      <c r="G869" s="66">
        <v>0.307</v>
      </c>
      <c r="H869" s="66">
        <v>0.057</v>
      </c>
      <c r="I869" s="66">
        <v>0.037</v>
      </c>
      <c r="J869" s="66">
        <v>1.01</v>
      </c>
      <c r="K869" s="81">
        <f>AVERAGE(1.28,1.27,1.48,1.33)</f>
        <v>1.34</v>
      </c>
      <c r="L869" s="82">
        <v>44761.0</v>
      </c>
    </row>
    <row r="870">
      <c r="A870" s="66" t="s">
        <v>57</v>
      </c>
      <c r="B870" s="66">
        <v>2092.0</v>
      </c>
      <c r="C870" s="66">
        <v>1.0</v>
      </c>
      <c r="D870" s="66">
        <v>1.0</v>
      </c>
      <c r="F870" s="66">
        <v>1.866</v>
      </c>
      <c r="G870" s="66">
        <v>1.189</v>
      </c>
      <c r="H870" s="66">
        <v>0.664</v>
      </c>
      <c r="I870" s="66">
        <v>0.397</v>
      </c>
      <c r="J870" s="66">
        <v>6.2</v>
      </c>
      <c r="K870" s="81">
        <f>AVERAGE(1.81,1.82,1.74,1.92)</f>
        <v>1.8225</v>
      </c>
      <c r="L870" s="82">
        <v>44761.0</v>
      </c>
    </row>
    <row r="871">
      <c r="A871" s="66" t="s">
        <v>179</v>
      </c>
      <c r="B871" s="66">
        <v>1478.0</v>
      </c>
      <c r="C871" s="66">
        <v>1.0</v>
      </c>
      <c r="D871" s="66">
        <v>0.0</v>
      </c>
      <c r="F871" s="66">
        <v>1.001</v>
      </c>
      <c r="G871" s="66">
        <v>0.578</v>
      </c>
      <c r="H871" s="66">
        <v>0.278</v>
      </c>
      <c r="I871" s="66">
        <v>0.156</v>
      </c>
      <c r="J871" s="66">
        <v>3.84</v>
      </c>
      <c r="K871" s="81">
        <f>AVERAGE(1.99,1.88,1.75,2.01)</f>
        <v>1.9075</v>
      </c>
      <c r="L871" s="82">
        <v>44761.0</v>
      </c>
    </row>
    <row r="872">
      <c r="A872" s="66" t="s">
        <v>179</v>
      </c>
      <c r="B872" s="66">
        <v>2026.0</v>
      </c>
      <c r="C872" s="66">
        <v>3.0</v>
      </c>
      <c r="D872" s="66">
        <v>0.0</v>
      </c>
      <c r="F872" s="66">
        <v>0.487</v>
      </c>
      <c r="G872" s="66">
        <v>0.294</v>
      </c>
      <c r="H872" s="66">
        <v>0.112</v>
      </c>
      <c r="I872" s="66">
        <v>0.073</v>
      </c>
      <c r="J872" s="66">
        <v>2.06</v>
      </c>
      <c r="K872" s="81">
        <f>AVERAGE(1.33,1.28,1.3,1.31)</f>
        <v>1.305</v>
      </c>
      <c r="L872" s="82">
        <v>44761.0</v>
      </c>
    </row>
    <row r="873">
      <c r="A873" s="66" t="s">
        <v>179</v>
      </c>
      <c r="B873" s="66">
        <v>2020.0</v>
      </c>
      <c r="C873" s="66">
        <v>1.0</v>
      </c>
      <c r="D873" s="66">
        <v>0.0</v>
      </c>
      <c r="F873" s="66">
        <v>0.533</v>
      </c>
      <c r="G873" s="66">
        <v>0.313</v>
      </c>
      <c r="H873" s="66">
        <v>0.037</v>
      </c>
      <c r="I873" s="66">
        <v>0.02</v>
      </c>
      <c r="J873" s="66">
        <v>1.0</v>
      </c>
      <c r="K873" s="81">
        <f>AVERAGE(0.97,0.91,0.89,0.78)</f>
        <v>0.8875</v>
      </c>
      <c r="L873" s="82">
        <v>44761.0</v>
      </c>
    </row>
    <row r="874">
      <c r="A874" s="66" t="s">
        <v>179</v>
      </c>
      <c r="B874" s="66">
        <v>2015.0</v>
      </c>
      <c r="C874" s="66">
        <v>1.0</v>
      </c>
      <c r="D874" s="66">
        <v>0.0</v>
      </c>
      <c r="F874" s="66">
        <v>0.54</v>
      </c>
      <c r="G874" s="66">
        <v>0.31</v>
      </c>
      <c r="H874" s="66">
        <v>0.125</v>
      </c>
      <c r="I874" s="66">
        <v>0.077</v>
      </c>
      <c r="J874" s="66">
        <v>2.42</v>
      </c>
      <c r="K874" s="81">
        <f>AVERAGE(1.09,1.16,1.16,1.1)</f>
        <v>1.1275</v>
      </c>
      <c r="L874" s="82">
        <v>44761.0</v>
      </c>
    </row>
    <row r="875">
      <c r="A875" s="66" t="s">
        <v>179</v>
      </c>
      <c r="B875" s="66">
        <v>2346.0</v>
      </c>
      <c r="C875" s="66">
        <v>2.0</v>
      </c>
      <c r="D875" s="66">
        <v>0.0</v>
      </c>
      <c r="F875" s="66">
        <v>0.366</v>
      </c>
      <c r="G875" s="66">
        <v>0.241</v>
      </c>
      <c r="H875" s="66">
        <v>0.028</v>
      </c>
      <c r="I875" s="66">
        <v>0.02</v>
      </c>
      <c r="J875" s="66">
        <v>1.13</v>
      </c>
      <c r="K875" s="81">
        <f>AVERAGE(0.9,0.93,0.92,0.91)</f>
        <v>0.915</v>
      </c>
      <c r="L875" s="82">
        <v>44761.0</v>
      </c>
    </row>
    <row r="876">
      <c r="A876" s="66" t="s">
        <v>179</v>
      </c>
      <c r="B876" s="66">
        <v>2372.0</v>
      </c>
      <c r="C876" s="66">
        <v>3.0</v>
      </c>
      <c r="D876" s="66">
        <v>0.0</v>
      </c>
      <c r="F876" s="66">
        <v>0.239</v>
      </c>
      <c r="G876" s="66">
        <v>0.151</v>
      </c>
      <c r="H876" s="66">
        <v>0.035</v>
      </c>
      <c r="I876" s="66">
        <v>0.023</v>
      </c>
      <c r="J876" s="66">
        <v>0.91</v>
      </c>
      <c r="K876" s="81">
        <f>AVERAGE(0.91,0.94,0.91,0.9)</f>
        <v>0.915</v>
      </c>
      <c r="L876" s="82">
        <v>44761.0</v>
      </c>
    </row>
    <row r="877">
      <c r="A877" s="66" t="s">
        <v>57</v>
      </c>
      <c r="B877" s="66">
        <v>2022.0</v>
      </c>
      <c r="C877" s="66">
        <v>1.0</v>
      </c>
      <c r="D877" s="66">
        <v>0.0</v>
      </c>
      <c r="F877" s="66">
        <v>2.419</v>
      </c>
      <c r="G877" s="66">
        <v>1.471</v>
      </c>
      <c r="H877" s="66">
        <v>0.119</v>
      </c>
      <c r="I877" s="66">
        <v>0.074</v>
      </c>
      <c r="J877" s="66">
        <v>2.1</v>
      </c>
      <c r="K877" s="81">
        <f>AVERAGE(1.63,1.66,1.44,1.48)</f>
        <v>1.5525</v>
      </c>
      <c r="L877" s="82">
        <v>44761.0</v>
      </c>
    </row>
    <row r="878">
      <c r="A878" s="66" t="s">
        <v>179</v>
      </c>
      <c r="B878" s="66">
        <v>2011.0</v>
      </c>
      <c r="C878" s="66">
        <v>3.0</v>
      </c>
      <c r="D878" s="66">
        <v>0.0</v>
      </c>
      <c r="F878" s="66">
        <v>0.662</v>
      </c>
      <c r="G878" s="66">
        <v>0.421</v>
      </c>
      <c r="H878" s="66">
        <v>0.081</v>
      </c>
      <c r="I878" s="66">
        <v>0.054</v>
      </c>
      <c r="J878" s="66">
        <v>1.08</v>
      </c>
      <c r="K878" s="81">
        <f>AVERAGE(1.44,1.31,1.45,1.43)</f>
        <v>1.4075</v>
      </c>
      <c r="L878" s="82">
        <v>44761.0</v>
      </c>
    </row>
    <row r="879">
      <c r="A879" s="66" t="s">
        <v>179</v>
      </c>
      <c r="B879" s="66">
        <v>2372.0</v>
      </c>
      <c r="C879" s="66">
        <v>2.0</v>
      </c>
      <c r="D879" s="66">
        <v>0.0</v>
      </c>
      <c r="F879" s="66">
        <v>0.498</v>
      </c>
      <c r="G879" s="66">
        <v>0.317</v>
      </c>
      <c r="H879" s="66">
        <v>0.061</v>
      </c>
      <c r="I879" s="66">
        <v>0.042</v>
      </c>
      <c r="J879" s="66">
        <v>1.08</v>
      </c>
      <c r="K879" s="81">
        <f>AVERAGE(0.99,1.11,1.28,1.22)</f>
        <v>1.15</v>
      </c>
      <c r="L879" s="82">
        <v>44761.0</v>
      </c>
    </row>
    <row r="880">
      <c r="A880" s="66" t="s">
        <v>179</v>
      </c>
      <c r="B880" s="66">
        <v>2088.0</v>
      </c>
      <c r="C880" s="66">
        <v>2.0</v>
      </c>
      <c r="D880" s="66">
        <v>0.0</v>
      </c>
      <c r="F880" s="66">
        <v>0.565</v>
      </c>
      <c r="G880" s="66">
        <v>0.344</v>
      </c>
      <c r="H880" s="66">
        <v>0.035</v>
      </c>
      <c r="I880" s="66">
        <v>0.023</v>
      </c>
      <c r="J880" s="66">
        <v>1.08</v>
      </c>
      <c r="K880" s="81">
        <f>AVERAGE(1.12,1.07,0.99,1)</f>
        <v>1.045</v>
      </c>
      <c r="L880" s="82">
        <v>44761.0</v>
      </c>
    </row>
    <row r="881">
      <c r="A881" s="66" t="s">
        <v>179</v>
      </c>
      <c r="B881" s="66">
        <v>2015.0</v>
      </c>
      <c r="C881" s="66">
        <v>2.0</v>
      </c>
      <c r="D881" s="66">
        <v>0.0</v>
      </c>
      <c r="F881" s="66">
        <v>0.63</v>
      </c>
      <c r="G881" s="66">
        <v>0.355</v>
      </c>
      <c r="H881" s="66">
        <v>0.112</v>
      </c>
      <c r="I881" s="66">
        <v>0.066</v>
      </c>
      <c r="J881" s="66">
        <v>2.46</v>
      </c>
      <c r="K881" s="81">
        <f>AVERAGE(1.21,1.35,1.22,1.33)</f>
        <v>1.2775</v>
      </c>
      <c r="L881" s="82">
        <v>44761.0</v>
      </c>
    </row>
    <row r="882">
      <c r="A882" s="66" t="s">
        <v>57</v>
      </c>
      <c r="B882" s="66">
        <v>2022.0</v>
      </c>
      <c r="C882" s="66">
        <v>3.0</v>
      </c>
      <c r="D882" s="66">
        <v>1.0</v>
      </c>
      <c r="F882" s="66">
        <v>0.136</v>
      </c>
      <c r="G882" s="66">
        <v>0.09</v>
      </c>
      <c r="H882" s="66">
        <v>0.073</v>
      </c>
      <c r="I882" s="66">
        <v>0.048</v>
      </c>
      <c r="J882" s="66">
        <v>1.12</v>
      </c>
      <c r="K882" s="81">
        <f>AVERAGE(1.75,1.72,1.74,1.81)</f>
        <v>1.755</v>
      </c>
      <c r="L882" s="82">
        <v>44761.0</v>
      </c>
    </row>
    <row r="883">
      <c r="A883" s="66" t="s">
        <v>57</v>
      </c>
      <c r="B883" s="66">
        <v>2380.0</v>
      </c>
      <c r="C883" s="66">
        <v>1.0</v>
      </c>
      <c r="D883" s="66">
        <v>1.0</v>
      </c>
      <c r="F883" s="66">
        <v>0.49</v>
      </c>
      <c r="G883" s="66">
        <v>0.337</v>
      </c>
      <c r="H883" s="66">
        <v>0.258</v>
      </c>
      <c r="I883" s="66">
        <v>0.174</v>
      </c>
      <c r="J883" s="66">
        <v>4.35</v>
      </c>
      <c r="K883" s="81">
        <f>AVERAGE(1.74,1.74,1.56,1.66)</f>
        <v>1.675</v>
      </c>
      <c r="L883" s="82">
        <v>44761.0</v>
      </c>
    </row>
    <row r="884">
      <c r="A884" s="66" t="s">
        <v>57</v>
      </c>
      <c r="B884" s="66">
        <v>2089.0</v>
      </c>
      <c r="C884" s="66">
        <v>2.0</v>
      </c>
      <c r="D884" s="66">
        <v>0.0</v>
      </c>
      <c r="F884" s="66">
        <v>1.029</v>
      </c>
      <c r="G884" s="66">
        <v>0.636</v>
      </c>
      <c r="H884" s="66">
        <v>0.178</v>
      </c>
      <c r="I884" s="66">
        <v>0.113</v>
      </c>
      <c r="J884" s="66">
        <v>6.37</v>
      </c>
      <c r="K884" s="81">
        <f>AVERAGE(1.64,1.45,1.28,1.55)</f>
        <v>1.48</v>
      </c>
      <c r="L884" s="82">
        <v>44761.0</v>
      </c>
    </row>
    <row r="885">
      <c r="A885" s="66" t="s">
        <v>179</v>
      </c>
      <c r="B885" s="66">
        <v>2085.0</v>
      </c>
      <c r="C885" s="66">
        <v>2.0</v>
      </c>
      <c r="D885" s="66">
        <v>0.0</v>
      </c>
      <c r="F885" s="66">
        <v>0.693</v>
      </c>
      <c r="G885" s="66">
        <v>0.418</v>
      </c>
      <c r="H885" s="66">
        <v>0.078</v>
      </c>
      <c r="I885" s="66">
        <v>0.051</v>
      </c>
      <c r="J885" s="66">
        <v>1.16</v>
      </c>
      <c r="K885" s="81">
        <f>AVERAGE(1.37,1.38,1.34,1.4)</f>
        <v>1.3725</v>
      </c>
      <c r="L885" s="82">
        <v>44761.0</v>
      </c>
    </row>
    <row r="886">
      <c r="A886" s="66" t="s">
        <v>179</v>
      </c>
      <c r="B886" s="66">
        <v>2086.0</v>
      </c>
      <c r="C886" s="66">
        <v>2.0</v>
      </c>
      <c r="D886" s="66">
        <v>0.0</v>
      </c>
      <c r="F886" s="66">
        <v>0.918</v>
      </c>
      <c r="G886" s="66">
        <v>0.531</v>
      </c>
      <c r="H886" s="66">
        <v>0.155</v>
      </c>
      <c r="I886" s="66">
        <v>0.098</v>
      </c>
      <c r="J886" s="66">
        <v>1.49</v>
      </c>
      <c r="K886" s="81">
        <f>AVERAGE(1.56,1.6,1.57,1.52)</f>
        <v>1.5625</v>
      </c>
      <c r="L886" s="82">
        <v>44761.0</v>
      </c>
    </row>
    <row r="887">
      <c r="A887" s="66" t="s">
        <v>57</v>
      </c>
      <c r="B887" s="66">
        <v>2352.0</v>
      </c>
      <c r="C887" s="66">
        <v>2.0</v>
      </c>
      <c r="D887" s="66">
        <v>1.0</v>
      </c>
      <c r="F887" s="66">
        <v>0.311</v>
      </c>
      <c r="G887" s="66">
        <v>0.216</v>
      </c>
      <c r="H887" s="66">
        <v>0.065</v>
      </c>
      <c r="I887" s="66">
        <v>0.044</v>
      </c>
      <c r="J887" s="66">
        <v>3.33</v>
      </c>
      <c r="K887" s="81">
        <f>AVERAGE(1.05,1.14,1.1,1.11)</f>
        <v>1.1</v>
      </c>
      <c r="L887" s="82">
        <v>44761.0</v>
      </c>
    </row>
    <row r="888">
      <c r="A888" s="66" t="s">
        <v>179</v>
      </c>
      <c r="B888" s="66">
        <v>2085.0</v>
      </c>
      <c r="C888" s="66">
        <v>1.0</v>
      </c>
      <c r="D888" s="66">
        <v>0.0</v>
      </c>
      <c r="F888" s="66">
        <v>1.13</v>
      </c>
      <c r="G888" s="66">
        <v>0.688</v>
      </c>
      <c r="H888" s="66">
        <v>0.134</v>
      </c>
      <c r="I888" s="66">
        <v>0.083</v>
      </c>
      <c r="J888" s="66">
        <v>1.51</v>
      </c>
      <c r="K888" s="81">
        <f>AVERAGE(1.63,1.8,1.86,1.81)</f>
        <v>1.775</v>
      </c>
      <c r="L888" s="82">
        <v>44761.0</v>
      </c>
    </row>
    <row r="889">
      <c r="A889" s="66" t="s">
        <v>57</v>
      </c>
      <c r="B889" s="66">
        <v>2029.0</v>
      </c>
      <c r="C889" s="66">
        <v>1.0</v>
      </c>
      <c r="D889" s="66">
        <v>0.0</v>
      </c>
      <c r="F889" s="66">
        <v>0.751</v>
      </c>
      <c r="G889" s="66">
        <v>0.0495</v>
      </c>
      <c r="H889" s="66">
        <v>0.03</v>
      </c>
      <c r="I889" s="66">
        <v>0.021</v>
      </c>
      <c r="J889" s="66">
        <v>1.7</v>
      </c>
      <c r="K889" s="81">
        <f>AVERAGE(0.98,1,1.03,1.1)</f>
        <v>1.0275</v>
      </c>
      <c r="L889" s="82">
        <v>44761.0</v>
      </c>
    </row>
    <row r="890">
      <c r="A890" s="66" t="s">
        <v>179</v>
      </c>
      <c r="B890" s="66">
        <v>2365.0</v>
      </c>
      <c r="C890" s="66">
        <v>1.0</v>
      </c>
      <c r="D890" s="66">
        <v>0.0</v>
      </c>
      <c r="F890" s="66">
        <v>0.472</v>
      </c>
      <c r="G890" s="66">
        <v>0.297</v>
      </c>
      <c r="H890" s="66">
        <v>0.037</v>
      </c>
      <c r="I890" s="66">
        <v>0.027</v>
      </c>
      <c r="J890" s="66">
        <v>1.2</v>
      </c>
      <c r="K890" s="81">
        <f>AVERAGE(0.97,1.07,1.08,1.02)</f>
        <v>1.035</v>
      </c>
      <c r="L890" s="82">
        <v>44761.0</v>
      </c>
    </row>
    <row r="891">
      <c r="A891" s="66" t="s">
        <v>179</v>
      </c>
      <c r="B891" s="66">
        <v>2378.0</v>
      </c>
      <c r="C891" s="66">
        <v>1.0</v>
      </c>
      <c r="D891" s="66">
        <v>0.0</v>
      </c>
      <c r="F891" s="66">
        <v>1.339</v>
      </c>
      <c r="G891" s="66">
        <v>0.831</v>
      </c>
      <c r="H891" s="66">
        <v>0.135</v>
      </c>
      <c r="I891" s="66">
        <v>0.09</v>
      </c>
      <c r="J891" s="66">
        <v>2.46</v>
      </c>
      <c r="K891" s="81">
        <f>AVERAGE(1.26,1.36,1.46,1.56)</f>
        <v>1.41</v>
      </c>
      <c r="L891" s="82">
        <v>44761.0</v>
      </c>
    </row>
    <row r="892">
      <c r="A892" s="66" t="s">
        <v>179</v>
      </c>
      <c r="B892" s="66">
        <v>2370.0</v>
      </c>
      <c r="C892" s="66">
        <v>3.0</v>
      </c>
      <c r="D892" s="66">
        <v>0.0</v>
      </c>
      <c r="F892" s="66">
        <v>0.236</v>
      </c>
      <c r="G892" s="66">
        <v>0.156</v>
      </c>
      <c r="H892" s="66">
        <v>0.012</v>
      </c>
      <c r="I892" s="66">
        <v>0.008</v>
      </c>
      <c r="J892" s="66">
        <v>0.68</v>
      </c>
      <c r="K892" s="81">
        <f>AVERAGE(0.9,0.94,0.81,0.85)</f>
        <v>0.875</v>
      </c>
      <c r="L892" s="82">
        <v>44761.0</v>
      </c>
    </row>
    <row r="893">
      <c r="A893" s="66" t="s">
        <v>179</v>
      </c>
      <c r="B893" s="66">
        <v>2010.0</v>
      </c>
      <c r="C893" s="66">
        <v>3.0</v>
      </c>
      <c r="D893" s="66">
        <v>0.0</v>
      </c>
      <c r="F893" s="66">
        <v>1.054</v>
      </c>
      <c r="G893" s="66">
        <v>0.623</v>
      </c>
      <c r="H893" s="66">
        <v>0.449</v>
      </c>
      <c r="I893" s="66">
        <v>0.285</v>
      </c>
      <c r="J893" s="66">
        <v>5.23</v>
      </c>
      <c r="K893" s="81">
        <f>AVERAGE(2,1.9,2,2.1)</f>
        <v>2</v>
      </c>
      <c r="L893" s="82">
        <v>44761.0</v>
      </c>
    </row>
    <row r="894">
      <c r="A894" s="66" t="s">
        <v>57</v>
      </c>
      <c r="B894" s="66">
        <v>2091.0</v>
      </c>
      <c r="C894" s="66">
        <v>3.0</v>
      </c>
      <c r="D894" s="66">
        <v>0.0</v>
      </c>
      <c r="F894" s="66">
        <v>1.252</v>
      </c>
      <c r="G894" s="66">
        <v>0.759</v>
      </c>
      <c r="H894" s="66">
        <v>0.111</v>
      </c>
      <c r="I894" s="66">
        <v>0.069</v>
      </c>
      <c r="J894" s="66">
        <v>2.6</v>
      </c>
      <c r="K894" s="81">
        <f>AVERAGE(1.35,1.36,1.29,1.29)</f>
        <v>1.3225</v>
      </c>
      <c r="L894" s="82">
        <v>44761.0</v>
      </c>
    </row>
    <row r="895">
      <c r="A895" s="66" t="s">
        <v>57</v>
      </c>
      <c r="B895" s="66">
        <v>2089.0</v>
      </c>
      <c r="C895" s="66">
        <v>2.0</v>
      </c>
      <c r="D895" s="66">
        <v>1.0</v>
      </c>
      <c r="F895" s="66">
        <v>0.682</v>
      </c>
      <c r="G895" s="66">
        <v>0.436</v>
      </c>
      <c r="H895" s="66">
        <v>0.136</v>
      </c>
      <c r="I895" s="66">
        <v>0.091</v>
      </c>
      <c r="J895" s="66">
        <v>3.53</v>
      </c>
      <c r="K895" s="81">
        <f>AVERAGE(1.66,1.61,1.61,1.66)</f>
        <v>1.635</v>
      </c>
      <c r="L895" s="82">
        <v>44761.0</v>
      </c>
    </row>
    <row r="896">
      <c r="A896" s="66" t="s">
        <v>179</v>
      </c>
      <c r="B896" s="66">
        <v>2382.0</v>
      </c>
      <c r="C896" s="66">
        <v>3.0</v>
      </c>
      <c r="D896" s="66">
        <v>0.0</v>
      </c>
      <c r="F896" s="66">
        <v>0.779</v>
      </c>
      <c r="G896" s="66">
        <v>0.471</v>
      </c>
      <c r="H896" s="66">
        <v>0.138</v>
      </c>
      <c r="I896" s="66">
        <v>0.095</v>
      </c>
      <c r="J896" s="66">
        <v>2.61</v>
      </c>
      <c r="K896" s="81">
        <f>AVERAGE(1.39,1.2,1.19,1.29)</f>
        <v>1.2675</v>
      </c>
      <c r="L896" s="82">
        <v>44761.0</v>
      </c>
    </row>
    <row r="897">
      <c r="A897" s="66" t="s">
        <v>179</v>
      </c>
      <c r="B897" s="66">
        <v>2343.0</v>
      </c>
      <c r="C897" s="66">
        <v>1.0</v>
      </c>
      <c r="D897" s="66">
        <v>0.0</v>
      </c>
      <c r="F897" s="66">
        <v>1.058</v>
      </c>
      <c r="G897" s="66">
        <v>0.648</v>
      </c>
      <c r="H897" s="66">
        <v>0.225</v>
      </c>
      <c r="I897" s="66">
        <v>0.149</v>
      </c>
      <c r="J897" s="66">
        <v>2.61</v>
      </c>
      <c r="K897" s="81">
        <f>AVERAGE(1.81,1.83,1.84,1.86)</f>
        <v>1.835</v>
      </c>
      <c r="L897" s="82">
        <v>44761.0</v>
      </c>
    </row>
    <row r="898">
      <c r="A898" s="66" t="s">
        <v>179</v>
      </c>
      <c r="B898" s="66">
        <v>2382.0</v>
      </c>
      <c r="C898" s="66">
        <v>1.0</v>
      </c>
      <c r="D898" s="66">
        <v>0.0</v>
      </c>
      <c r="F898" s="66">
        <v>0.416</v>
      </c>
      <c r="G898" s="66">
        <v>0.271</v>
      </c>
      <c r="H898" s="66">
        <v>0.102</v>
      </c>
      <c r="I898" s="66">
        <v>0.069</v>
      </c>
      <c r="J898" s="66">
        <v>3.08</v>
      </c>
      <c r="K898" s="81">
        <f>AVERAGE(1.3,1.28,1.26,1.29)</f>
        <v>1.2825</v>
      </c>
      <c r="L898" s="82">
        <v>44761.0</v>
      </c>
    </row>
    <row r="899">
      <c r="A899" s="66" t="s">
        <v>57</v>
      </c>
      <c r="B899" s="66">
        <v>2301.0</v>
      </c>
      <c r="C899" s="66">
        <v>1.0</v>
      </c>
      <c r="D899" s="66">
        <v>1.0</v>
      </c>
      <c r="F899" s="66">
        <v>1.332</v>
      </c>
      <c r="G899" s="66">
        <v>0.931</v>
      </c>
      <c r="H899" s="66">
        <v>0.173</v>
      </c>
      <c r="I899" s="66">
        <v>0.119</v>
      </c>
      <c r="J899" s="66">
        <v>6.29</v>
      </c>
      <c r="K899" s="81">
        <f>AVERAGE(1.41,1.39,1.29,1.4)</f>
        <v>1.3725</v>
      </c>
      <c r="L899" s="82">
        <v>44761.0</v>
      </c>
    </row>
    <row r="900">
      <c r="A900" s="66" t="s">
        <v>179</v>
      </c>
      <c r="B900" s="66">
        <v>2021.0</v>
      </c>
      <c r="C900" s="66">
        <v>3.0</v>
      </c>
      <c r="D900" s="66">
        <v>0.0</v>
      </c>
      <c r="F900" s="66">
        <v>0.555</v>
      </c>
      <c r="G900" s="66">
        <v>0.322</v>
      </c>
      <c r="H900" s="66">
        <v>0.064</v>
      </c>
      <c r="I900" s="66">
        <v>0.038</v>
      </c>
      <c r="J900" s="66">
        <v>1.54</v>
      </c>
      <c r="K900" s="81">
        <f>AVERAGE(1.09,1.07,1.09,1.03)</f>
        <v>1.07</v>
      </c>
      <c r="L900" s="82">
        <v>44761.0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43"/>
    <col customWidth="1" min="3" max="3" width="8.71"/>
    <col customWidth="1" min="4" max="4" width="7.0"/>
    <col customWidth="1" min="5" max="5" width="6.71"/>
    <col customWidth="1" min="6" max="6" width="6.86"/>
    <col customWidth="1" min="7" max="7" width="5.43"/>
    <col customWidth="1" min="8" max="8" width="10.86"/>
    <col customWidth="1" min="9" max="9" width="10.57"/>
    <col customWidth="1" min="10" max="10" width="10.43"/>
    <col customWidth="1" min="11" max="11" width="9.14"/>
    <col customWidth="1" min="12" max="12" width="9.43"/>
    <col customWidth="1" min="13" max="13" width="5.71"/>
  </cols>
  <sheetData>
    <row r="1">
      <c r="A1" s="79" t="s">
        <v>178</v>
      </c>
      <c r="B1" s="79" t="s">
        <v>188</v>
      </c>
      <c r="C1" s="79" t="s">
        <v>168</v>
      </c>
      <c r="D1" s="79" t="s">
        <v>189</v>
      </c>
      <c r="E1" s="79" t="s">
        <v>190</v>
      </c>
      <c r="F1" s="79" t="s">
        <v>191</v>
      </c>
      <c r="G1" s="79" t="s">
        <v>170</v>
      </c>
      <c r="H1" s="79" t="s">
        <v>192</v>
      </c>
      <c r="I1" s="79" t="s">
        <v>193</v>
      </c>
      <c r="J1" s="79" t="s">
        <v>194</v>
      </c>
      <c r="K1" s="79" t="s">
        <v>195</v>
      </c>
      <c r="L1" s="79" t="s">
        <v>196</v>
      </c>
      <c r="M1" s="79" t="s">
        <v>99</v>
      </c>
      <c r="N1" s="79" t="s">
        <v>197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>
      <c r="A2" s="82">
        <v>44620.0</v>
      </c>
      <c r="B2" s="82">
        <v>44620.0</v>
      </c>
      <c r="C2" s="66">
        <v>2354.0</v>
      </c>
      <c r="D2" s="66" t="s">
        <v>198</v>
      </c>
      <c r="E2" s="66">
        <v>3.0</v>
      </c>
      <c r="F2" s="66" t="s">
        <v>199</v>
      </c>
      <c r="G2" s="66">
        <f t="shared" ref="G2:G136" si="1">if(E2="old",1,0)</f>
        <v>0</v>
      </c>
      <c r="H2" s="66">
        <v>68.2045</v>
      </c>
      <c r="I2" s="66">
        <v>87.7685</v>
      </c>
      <c r="J2" s="66">
        <v>79.5728</v>
      </c>
      <c r="K2" s="81">
        <f t="shared" ref="K2:K1524" si="2">I2-H2</f>
        <v>19.564</v>
      </c>
      <c r="L2" s="81">
        <f t="shared" ref="L2:L1531" si="3">J2-H2</f>
        <v>11.3683</v>
      </c>
    </row>
    <row r="3">
      <c r="A3" s="82">
        <v>44620.0</v>
      </c>
      <c r="B3" s="82">
        <v>44620.0</v>
      </c>
      <c r="C3" s="66">
        <v>2354.0</v>
      </c>
      <c r="D3" s="66" t="s">
        <v>198</v>
      </c>
      <c r="E3" s="66">
        <v>3.0</v>
      </c>
      <c r="F3" s="66" t="s">
        <v>199</v>
      </c>
      <c r="G3" s="66">
        <f t="shared" si="1"/>
        <v>0</v>
      </c>
      <c r="H3" s="66">
        <v>67.4957</v>
      </c>
      <c r="I3" s="66">
        <v>78.39</v>
      </c>
      <c r="J3" s="66">
        <v>73.8748</v>
      </c>
      <c r="K3" s="81">
        <f t="shared" si="2"/>
        <v>10.8943</v>
      </c>
      <c r="L3" s="81">
        <f t="shared" si="3"/>
        <v>6.3791</v>
      </c>
      <c r="N3" s="66" t="s">
        <v>200</v>
      </c>
    </row>
    <row r="4">
      <c r="A4" s="82">
        <v>44620.0</v>
      </c>
      <c r="B4" s="82">
        <v>44620.0</v>
      </c>
      <c r="C4" s="66">
        <v>2381.0</v>
      </c>
      <c r="D4" s="66" t="s">
        <v>198</v>
      </c>
      <c r="E4" s="66">
        <v>3.0</v>
      </c>
      <c r="F4" s="66" t="s">
        <v>199</v>
      </c>
      <c r="G4" s="66">
        <f t="shared" si="1"/>
        <v>0</v>
      </c>
      <c r="H4" s="66">
        <v>68.277</v>
      </c>
      <c r="I4" s="66">
        <v>77.7112</v>
      </c>
      <c r="J4" s="66">
        <v>73.7552</v>
      </c>
      <c r="K4" s="81">
        <f t="shared" si="2"/>
        <v>9.4342</v>
      </c>
      <c r="L4" s="81">
        <f t="shared" si="3"/>
        <v>5.4782</v>
      </c>
      <c r="N4" s="66" t="s">
        <v>201</v>
      </c>
    </row>
    <row r="5">
      <c r="A5" s="82">
        <v>44620.0</v>
      </c>
      <c r="B5" s="82">
        <v>44620.0</v>
      </c>
      <c r="C5" s="66">
        <v>2301.0</v>
      </c>
      <c r="D5" s="66" t="s">
        <v>198</v>
      </c>
      <c r="E5" s="66">
        <v>3.0</v>
      </c>
      <c r="F5" s="66" t="s">
        <v>199</v>
      </c>
      <c r="G5" s="66">
        <f t="shared" si="1"/>
        <v>0</v>
      </c>
      <c r="H5" s="66">
        <v>67.2529</v>
      </c>
      <c r="I5" s="66">
        <v>74.3662</v>
      </c>
      <c r="J5" s="66">
        <v>70.9967</v>
      </c>
      <c r="K5" s="81">
        <f t="shared" si="2"/>
        <v>7.1133</v>
      </c>
      <c r="L5" s="81">
        <f t="shared" si="3"/>
        <v>3.7438</v>
      </c>
      <c r="N5" s="66" t="s">
        <v>202</v>
      </c>
    </row>
    <row r="6">
      <c r="A6" s="82">
        <v>44620.0</v>
      </c>
      <c r="B6" s="82">
        <v>44620.0</v>
      </c>
      <c r="C6" s="66">
        <v>3477.0</v>
      </c>
      <c r="D6" s="66" t="s">
        <v>198</v>
      </c>
      <c r="E6" s="66">
        <v>3.0</v>
      </c>
      <c r="F6" s="66" t="s">
        <v>199</v>
      </c>
      <c r="G6" s="66">
        <f t="shared" si="1"/>
        <v>0</v>
      </c>
      <c r="H6" s="66">
        <v>68.3792</v>
      </c>
      <c r="I6" s="66">
        <v>82.7717</v>
      </c>
      <c r="J6" s="66">
        <v>76.0849</v>
      </c>
      <c r="K6" s="81">
        <f t="shared" si="2"/>
        <v>14.3925</v>
      </c>
      <c r="L6" s="81">
        <f t="shared" si="3"/>
        <v>7.7057</v>
      </c>
    </row>
    <row r="7">
      <c r="A7" s="82">
        <v>44620.0</v>
      </c>
      <c r="B7" s="82">
        <v>44620.0</v>
      </c>
      <c r="C7" s="66">
        <v>2301.0</v>
      </c>
      <c r="D7" s="66" t="s">
        <v>198</v>
      </c>
      <c r="E7" s="66">
        <v>3.0</v>
      </c>
      <c r="F7" s="66" t="s">
        <v>199</v>
      </c>
      <c r="G7" s="66">
        <f t="shared" si="1"/>
        <v>0</v>
      </c>
      <c r="H7" s="66">
        <v>67.1847</v>
      </c>
      <c r="I7" s="66">
        <v>80.2006</v>
      </c>
      <c r="J7" s="66">
        <v>74.3763</v>
      </c>
      <c r="K7" s="81">
        <f t="shared" si="2"/>
        <v>13.0159</v>
      </c>
      <c r="L7" s="81">
        <f t="shared" si="3"/>
        <v>7.1916</v>
      </c>
    </row>
    <row r="8">
      <c r="A8" s="82">
        <v>44620.0</v>
      </c>
      <c r="B8" s="82">
        <v>44620.0</v>
      </c>
      <c r="C8" s="66">
        <v>2331.0</v>
      </c>
      <c r="D8" s="66" t="s">
        <v>198</v>
      </c>
      <c r="E8" s="66">
        <v>3.0</v>
      </c>
      <c r="F8" s="66" t="s">
        <v>199</v>
      </c>
      <c r="G8" s="66">
        <f t="shared" si="1"/>
        <v>0</v>
      </c>
      <c r="H8" s="66">
        <v>68.0239</v>
      </c>
      <c r="I8" s="66">
        <v>88.4294</v>
      </c>
      <c r="J8" s="66">
        <v>79.9237</v>
      </c>
      <c r="K8" s="81">
        <f t="shared" si="2"/>
        <v>20.4055</v>
      </c>
      <c r="L8" s="81">
        <f t="shared" si="3"/>
        <v>11.8998</v>
      </c>
    </row>
    <row r="9">
      <c r="A9" s="82">
        <v>44620.0</v>
      </c>
      <c r="B9" s="82">
        <v>44620.0</v>
      </c>
      <c r="C9" s="66">
        <v>3480.0</v>
      </c>
      <c r="D9" s="66" t="s">
        <v>198</v>
      </c>
      <c r="E9" s="66">
        <v>3.0</v>
      </c>
      <c r="F9" s="66" t="s">
        <v>199</v>
      </c>
      <c r="G9" s="66">
        <f t="shared" si="1"/>
        <v>0</v>
      </c>
      <c r="H9" s="66">
        <v>68.4074</v>
      </c>
      <c r="I9" s="66">
        <v>84.4504</v>
      </c>
      <c r="J9" s="66">
        <v>78.542</v>
      </c>
      <c r="K9" s="81">
        <f t="shared" si="2"/>
        <v>16.043</v>
      </c>
      <c r="L9" s="81">
        <f t="shared" si="3"/>
        <v>10.1346</v>
      </c>
    </row>
    <row r="10">
      <c r="A10" s="82">
        <v>44620.0</v>
      </c>
      <c r="B10" s="82">
        <v>44620.0</v>
      </c>
      <c r="C10" s="66">
        <v>2376.0</v>
      </c>
      <c r="D10" s="66" t="s">
        <v>198</v>
      </c>
      <c r="E10" s="66">
        <v>3.0</v>
      </c>
      <c r="F10" s="66" t="s">
        <v>199</v>
      </c>
      <c r="G10" s="66">
        <f t="shared" si="1"/>
        <v>0</v>
      </c>
      <c r="H10" s="66">
        <v>68.0014</v>
      </c>
      <c r="I10" s="66">
        <v>89.5439</v>
      </c>
      <c r="J10" s="66">
        <v>80.1409</v>
      </c>
      <c r="K10" s="81">
        <f t="shared" si="2"/>
        <v>21.5425</v>
      </c>
      <c r="L10" s="81">
        <f t="shared" si="3"/>
        <v>12.1395</v>
      </c>
    </row>
    <row r="11">
      <c r="A11" s="82">
        <v>44620.0</v>
      </c>
      <c r="B11" s="82">
        <v>44620.0</v>
      </c>
      <c r="C11" s="66">
        <v>2352.0</v>
      </c>
      <c r="D11" s="66" t="s">
        <v>198</v>
      </c>
      <c r="E11" s="66">
        <v>3.0</v>
      </c>
      <c r="F11" s="66" t="s">
        <v>199</v>
      </c>
      <c r="G11" s="66">
        <f t="shared" si="1"/>
        <v>0</v>
      </c>
      <c r="H11" s="66">
        <v>68.4078</v>
      </c>
      <c r="I11" s="66">
        <v>82.6206</v>
      </c>
      <c r="J11" s="66">
        <v>76.6991</v>
      </c>
      <c r="K11" s="81">
        <f t="shared" si="2"/>
        <v>14.2128</v>
      </c>
      <c r="L11" s="81">
        <f t="shared" si="3"/>
        <v>8.2913</v>
      </c>
    </row>
    <row r="12">
      <c r="A12" s="82">
        <v>44620.0</v>
      </c>
      <c r="B12" s="82">
        <v>44620.0</v>
      </c>
      <c r="C12" s="66">
        <v>2331.0</v>
      </c>
      <c r="D12" s="66" t="s">
        <v>203</v>
      </c>
      <c r="E12" s="66">
        <v>1.0</v>
      </c>
      <c r="F12" s="66" t="s">
        <v>204</v>
      </c>
      <c r="G12" s="66">
        <f t="shared" si="1"/>
        <v>0</v>
      </c>
      <c r="H12" s="66">
        <v>67.4408</v>
      </c>
      <c r="I12" s="66">
        <v>68.6829</v>
      </c>
      <c r="J12" s="66">
        <v>68.1102</v>
      </c>
      <c r="K12" s="81">
        <f t="shared" si="2"/>
        <v>1.2421</v>
      </c>
      <c r="L12" s="81">
        <f t="shared" si="3"/>
        <v>0.6694</v>
      </c>
    </row>
    <row r="13">
      <c r="A13" s="82">
        <v>44620.0</v>
      </c>
      <c r="B13" s="82">
        <v>44620.0</v>
      </c>
      <c r="C13" s="66">
        <v>2345.0</v>
      </c>
      <c r="D13" s="66" t="s">
        <v>198</v>
      </c>
      <c r="E13" s="66">
        <v>3.0</v>
      </c>
      <c r="F13" s="66" t="s">
        <v>199</v>
      </c>
      <c r="G13" s="66">
        <f t="shared" si="1"/>
        <v>0</v>
      </c>
      <c r="H13" s="66">
        <v>67.8816</v>
      </c>
      <c r="I13" s="66">
        <v>80.4246</v>
      </c>
      <c r="J13" s="66">
        <v>75.0837</v>
      </c>
      <c r="K13" s="81">
        <f t="shared" si="2"/>
        <v>12.543</v>
      </c>
      <c r="L13" s="81">
        <f t="shared" si="3"/>
        <v>7.2021</v>
      </c>
    </row>
    <row r="14">
      <c r="A14" s="82">
        <v>44620.0</v>
      </c>
      <c r="B14" s="82">
        <v>44620.0</v>
      </c>
      <c r="C14" s="66">
        <v>2366.0</v>
      </c>
      <c r="D14" s="66" t="s">
        <v>198</v>
      </c>
      <c r="E14" s="66">
        <v>3.0</v>
      </c>
      <c r="F14" s="66" t="s">
        <v>199</v>
      </c>
      <c r="G14" s="66">
        <f t="shared" si="1"/>
        <v>0</v>
      </c>
      <c r="H14" s="66">
        <v>67.8021</v>
      </c>
      <c r="I14" s="66">
        <v>79.815</v>
      </c>
      <c r="J14" s="66">
        <v>74.7255</v>
      </c>
      <c r="K14" s="81">
        <f t="shared" si="2"/>
        <v>12.0129</v>
      </c>
      <c r="L14" s="81">
        <f t="shared" si="3"/>
        <v>6.9234</v>
      </c>
    </row>
    <row r="15">
      <c r="A15" s="82">
        <v>44620.0</v>
      </c>
      <c r="B15" s="82">
        <v>44620.0</v>
      </c>
      <c r="C15" s="66">
        <v>2377.0</v>
      </c>
      <c r="D15" s="66" t="s">
        <v>198</v>
      </c>
      <c r="E15" s="66">
        <v>3.0</v>
      </c>
      <c r="F15" s="66" t="s">
        <v>199</v>
      </c>
      <c r="G15" s="66">
        <f t="shared" si="1"/>
        <v>0</v>
      </c>
      <c r="H15" s="66">
        <v>67.898</v>
      </c>
      <c r="I15" s="66">
        <v>80.7456</v>
      </c>
      <c r="J15" s="66">
        <v>75.3793</v>
      </c>
      <c r="K15" s="81">
        <f t="shared" si="2"/>
        <v>12.8476</v>
      </c>
      <c r="L15" s="81">
        <f t="shared" si="3"/>
        <v>7.4813</v>
      </c>
    </row>
    <row r="16">
      <c r="A16" s="82">
        <v>44620.0</v>
      </c>
      <c r="B16" s="82">
        <v>44620.0</v>
      </c>
      <c r="C16" s="66">
        <v>2322.0</v>
      </c>
      <c r="D16" s="66" t="s">
        <v>198</v>
      </c>
      <c r="E16" s="66">
        <v>3.0</v>
      </c>
      <c r="F16" s="66" t="s">
        <v>199</v>
      </c>
      <c r="G16" s="66">
        <f t="shared" si="1"/>
        <v>0</v>
      </c>
      <c r="H16" s="66">
        <v>67.1409</v>
      </c>
      <c r="I16" s="66">
        <v>79.9347</v>
      </c>
      <c r="J16" s="66">
        <v>68.8353</v>
      </c>
      <c r="K16" s="81">
        <f t="shared" si="2"/>
        <v>12.7938</v>
      </c>
      <c r="L16" s="81">
        <f t="shared" si="3"/>
        <v>1.6944</v>
      </c>
    </row>
    <row r="17">
      <c r="A17" s="82">
        <v>44620.0</v>
      </c>
      <c r="B17" s="82">
        <v>44620.0</v>
      </c>
      <c r="C17" s="66">
        <v>2345.0</v>
      </c>
      <c r="D17" s="66" t="s">
        <v>198</v>
      </c>
      <c r="E17" s="66">
        <v>3.0</v>
      </c>
      <c r="F17" s="66" t="s">
        <v>199</v>
      </c>
      <c r="G17" s="66">
        <f t="shared" si="1"/>
        <v>0</v>
      </c>
      <c r="H17" s="66">
        <v>67.9258</v>
      </c>
      <c r="I17" s="66">
        <v>76.5392</v>
      </c>
      <c r="J17" s="66">
        <v>72.583</v>
      </c>
      <c r="K17" s="81">
        <f t="shared" si="2"/>
        <v>8.6134</v>
      </c>
      <c r="L17" s="81">
        <f t="shared" si="3"/>
        <v>4.6572</v>
      </c>
    </row>
    <row r="18">
      <c r="A18" s="82">
        <v>44628.0</v>
      </c>
      <c r="B18" s="82">
        <v>44628.0</v>
      </c>
      <c r="C18" s="66">
        <v>2381.0</v>
      </c>
      <c r="D18" s="66" t="s">
        <v>203</v>
      </c>
      <c r="E18" s="66">
        <v>0.0</v>
      </c>
      <c r="F18" s="66" t="s">
        <v>204</v>
      </c>
      <c r="G18" s="66">
        <f t="shared" si="1"/>
        <v>0</v>
      </c>
      <c r="H18" s="66">
        <v>26.3635</v>
      </c>
      <c r="I18" s="66">
        <v>26.72</v>
      </c>
      <c r="J18" s="66">
        <v>26.6483</v>
      </c>
      <c r="K18" s="81">
        <f t="shared" si="2"/>
        <v>0.3565</v>
      </c>
      <c r="L18" s="81">
        <f t="shared" si="3"/>
        <v>0.2848</v>
      </c>
    </row>
    <row r="19">
      <c r="A19" s="82">
        <v>44628.0</v>
      </c>
      <c r="B19" s="82">
        <v>44628.0</v>
      </c>
      <c r="C19" s="66">
        <v>2378.0</v>
      </c>
      <c r="D19" s="66" t="s">
        <v>198</v>
      </c>
      <c r="E19" s="66">
        <v>0.0</v>
      </c>
      <c r="F19" s="66" t="s">
        <v>204</v>
      </c>
      <c r="G19" s="66">
        <f t="shared" si="1"/>
        <v>0</v>
      </c>
      <c r="H19" s="66">
        <v>26.5327</v>
      </c>
      <c r="I19" s="66">
        <v>26.7629</v>
      </c>
      <c r="J19" s="66">
        <v>26.7742</v>
      </c>
      <c r="K19" s="81">
        <f t="shared" si="2"/>
        <v>0.2302</v>
      </c>
      <c r="L19" s="81">
        <f t="shared" si="3"/>
        <v>0.2415</v>
      </c>
    </row>
    <row r="20">
      <c r="A20" s="82">
        <v>44628.0</v>
      </c>
      <c r="B20" s="82">
        <v>44628.0</v>
      </c>
      <c r="C20" s="66">
        <v>2382.0</v>
      </c>
      <c r="D20" s="66" t="s">
        <v>203</v>
      </c>
      <c r="E20" s="66">
        <v>0.0</v>
      </c>
      <c r="F20" s="66" t="s">
        <v>204</v>
      </c>
      <c r="G20" s="66">
        <f t="shared" si="1"/>
        <v>0</v>
      </c>
      <c r="H20" s="66">
        <v>26.1643</v>
      </c>
      <c r="I20" s="66">
        <v>27.6421</v>
      </c>
      <c r="J20" s="66">
        <v>26.5199</v>
      </c>
      <c r="K20" s="81">
        <f t="shared" si="2"/>
        <v>1.4778</v>
      </c>
      <c r="L20" s="81">
        <f t="shared" si="3"/>
        <v>0.3556</v>
      </c>
    </row>
    <row r="21">
      <c r="A21" s="82">
        <v>44628.0</v>
      </c>
      <c r="B21" s="82">
        <v>44628.0</v>
      </c>
      <c r="C21" s="66">
        <v>2382.0</v>
      </c>
      <c r="D21" s="66" t="s">
        <v>198</v>
      </c>
      <c r="E21" s="66">
        <v>0.0</v>
      </c>
      <c r="F21" s="66" t="s">
        <v>204</v>
      </c>
      <c r="G21" s="66">
        <f t="shared" si="1"/>
        <v>0</v>
      </c>
      <c r="H21" s="66">
        <v>26.2638</v>
      </c>
      <c r="I21" s="66">
        <v>27.7422</v>
      </c>
      <c r="J21" s="66">
        <v>26.7896</v>
      </c>
      <c r="K21" s="81">
        <f t="shared" si="2"/>
        <v>1.4784</v>
      </c>
      <c r="L21" s="81">
        <f t="shared" si="3"/>
        <v>0.5258</v>
      </c>
    </row>
    <row r="22">
      <c r="A22" s="82">
        <v>44628.0</v>
      </c>
      <c r="B22" s="82">
        <v>44628.0</v>
      </c>
      <c r="C22" s="66">
        <v>2377.0</v>
      </c>
      <c r="D22" s="66" t="s">
        <v>198</v>
      </c>
      <c r="E22" s="66">
        <v>0.0</v>
      </c>
      <c r="F22" s="66" t="s">
        <v>204</v>
      </c>
      <c r="G22" s="66">
        <f t="shared" si="1"/>
        <v>0</v>
      </c>
      <c r="H22" s="66">
        <v>25.9118</v>
      </c>
      <c r="I22" s="66">
        <v>26.7742</v>
      </c>
      <c r="J22" s="66">
        <v>26.2059</v>
      </c>
      <c r="K22" s="81">
        <f t="shared" si="2"/>
        <v>0.8624</v>
      </c>
      <c r="L22" s="81">
        <f t="shared" si="3"/>
        <v>0.2941</v>
      </c>
    </row>
    <row r="23">
      <c r="A23" s="82">
        <v>44628.0</v>
      </c>
      <c r="B23" s="82">
        <v>44628.0</v>
      </c>
      <c r="C23" s="66">
        <v>2380.0</v>
      </c>
      <c r="D23" s="66" t="s">
        <v>203</v>
      </c>
      <c r="E23" s="66">
        <v>1.0</v>
      </c>
      <c r="F23" s="66" t="s">
        <v>205</v>
      </c>
      <c r="G23" s="66">
        <f t="shared" si="1"/>
        <v>0</v>
      </c>
      <c r="H23" s="66">
        <v>26.1703</v>
      </c>
      <c r="I23" s="66">
        <v>34.2191</v>
      </c>
      <c r="J23" s="66">
        <v>30.8103</v>
      </c>
      <c r="K23" s="81">
        <f t="shared" si="2"/>
        <v>8.0488</v>
      </c>
      <c r="L23" s="81">
        <f t="shared" si="3"/>
        <v>4.64</v>
      </c>
    </row>
    <row r="24">
      <c r="A24" s="82">
        <v>44628.0</v>
      </c>
      <c r="B24" s="82">
        <v>44628.0</v>
      </c>
      <c r="C24" s="66">
        <v>2381.0</v>
      </c>
      <c r="D24" s="66" t="s">
        <v>198</v>
      </c>
      <c r="E24" s="66">
        <v>1.0</v>
      </c>
      <c r="F24" s="66" t="s">
        <v>204</v>
      </c>
      <c r="G24" s="66">
        <f t="shared" si="1"/>
        <v>0</v>
      </c>
      <c r="H24" s="66">
        <v>26.4364</v>
      </c>
      <c r="I24" s="66">
        <v>29.1776</v>
      </c>
      <c r="J24" s="66">
        <v>27.7775</v>
      </c>
      <c r="K24" s="81">
        <f t="shared" si="2"/>
        <v>2.7412</v>
      </c>
      <c r="L24" s="81">
        <f t="shared" si="3"/>
        <v>1.3411</v>
      </c>
    </row>
    <row r="25">
      <c r="A25" s="82">
        <v>44628.0</v>
      </c>
      <c r="B25" s="82">
        <v>44628.0</v>
      </c>
      <c r="C25" s="66">
        <v>2377.0</v>
      </c>
      <c r="D25" s="66" t="s">
        <v>198</v>
      </c>
      <c r="E25" s="66">
        <v>1.0</v>
      </c>
      <c r="F25" s="66" t="s">
        <v>204</v>
      </c>
      <c r="G25" s="66">
        <f t="shared" si="1"/>
        <v>0</v>
      </c>
      <c r="H25" s="66">
        <v>26.3183</v>
      </c>
      <c r="I25" s="66">
        <v>27.6221</v>
      </c>
      <c r="J25" s="66">
        <v>27.0446</v>
      </c>
      <c r="K25" s="81">
        <f t="shared" si="2"/>
        <v>1.3038</v>
      </c>
      <c r="L25" s="81">
        <f t="shared" si="3"/>
        <v>0.7263</v>
      </c>
    </row>
    <row r="26">
      <c r="A26" s="82">
        <v>44628.0</v>
      </c>
      <c r="B26" s="82">
        <v>44628.0</v>
      </c>
      <c r="C26" s="66">
        <v>2378.0</v>
      </c>
      <c r="D26" s="66" t="s">
        <v>198</v>
      </c>
      <c r="E26" s="66">
        <v>0.0</v>
      </c>
      <c r="F26" s="66" t="s">
        <v>205</v>
      </c>
      <c r="G26" s="66">
        <f t="shared" si="1"/>
        <v>0</v>
      </c>
      <c r="H26" s="66">
        <v>26.1156</v>
      </c>
      <c r="I26" s="66">
        <v>31.9398</v>
      </c>
      <c r="J26" s="66">
        <v>28.3978</v>
      </c>
      <c r="K26" s="81">
        <f t="shared" si="2"/>
        <v>5.8242</v>
      </c>
      <c r="L26" s="81">
        <f t="shared" si="3"/>
        <v>2.2822</v>
      </c>
    </row>
    <row r="27">
      <c r="A27" s="82">
        <v>44628.0</v>
      </c>
      <c r="B27" s="82">
        <v>44628.0</v>
      </c>
      <c r="C27" s="66">
        <v>2007.0</v>
      </c>
      <c r="D27" s="66" t="s">
        <v>198</v>
      </c>
      <c r="E27" s="66">
        <v>0.0</v>
      </c>
      <c r="F27" s="66" t="s">
        <v>204</v>
      </c>
      <c r="G27" s="66">
        <f t="shared" si="1"/>
        <v>0</v>
      </c>
      <c r="H27" s="66">
        <v>26.2359</v>
      </c>
      <c r="I27" s="66">
        <v>27.2754</v>
      </c>
      <c r="J27" s="66">
        <v>26.6218</v>
      </c>
      <c r="K27" s="81">
        <f t="shared" si="2"/>
        <v>1.0395</v>
      </c>
      <c r="L27" s="81">
        <f t="shared" si="3"/>
        <v>0.3859</v>
      </c>
    </row>
    <row r="28">
      <c r="A28" s="82">
        <v>44628.0</v>
      </c>
      <c r="B28" s="82">
        <v>44628.0</v>
      </c>
      <c r="C28" s="66">
        <v>2345.0</v>
      </c>
      <c r="D28" s="66" t="s">
        <v>203</v>
      </c>
      <c r="E28" s="66">
        <v>1.0</v>
      </c>
      <c r="F28" s="66" t="s">
        <v>205</v>
      </c>
      <c r="G28" s="66">
        <f t="shared" si="1"/>
        <v>0</v>
      </c>
      <c r="H28" s="66">
        <v>26.2936</v>
      </c>
      <c r="I28" s="66">
        <v>35.7965</v>
      </c>
      <c r="J28" s="66">
        <v>31.4155</v>
      </c>
      <c r="K28" s="81">
        <f t="shared" si="2"/>
        <v>9.5029</v>
      </c>
      <c r="L28" s="81">
        <f t="shared" si="3"/>
        <v>5.1219</v>
      </c>
    </row>
    <row r="29">
      <c r="A29" s="82">
        <v>44628.0</v>
      </c>
      <c r="B29" s="82">
        <v>44628.0</v>
      </c>
      <c r="C29" s="66">
        <v>2384.0</v>
      </c>
      <c r="D29" s="66" t="s">
        <v>203</v>
      </c>
      <c r="E29" s="66">
        <v>0.0</v>
      </c>
      <c r="F29" s="66" t="s">
        <v>205</v>
      </c>
      <c r="G29" s="66">
        <f t="shared" si="1"/>
        <v>0</v>
      </c>
      <c r="H29" s="66">
        <v>26.2841</v>
      </c>
      <c r="I29" s="66">
        <v>32.6722</v>
      </c>
      <c r="J29" s="66">
        <v>28.4043</v>
      </c>
      <c r="K29" s="81">
        <f t="shared" si="2"/>
        <v>6.3881</v>
      </c>
      <c r="L29" s="81">
        <f t="shared" si="3"/>
        <v>2.1202</v>
      </c>
    </row>
    <row r="30">
      <c r="A30" s="82">
        <v>44628.0</v>
      </c>
      <c r="B30" s="82">
        <v>44628.0</v>
      </c>
      <c r="C30" s="66">
        <v>2380.0</v>
      </c>
      <c r="D30" s="66" t="s">
        <v>203</v>
      </c>
      <c r="E30" s="66">
        <v>0.0</v>
      </c>
      <c r="F30" s="66" t="s">
        <v>205</v>
      </c>
      <c r="G30" s="66">
        <f t="shared" si="1"/>
        <v>0</v>
      </c>
      <c r="H30" s="66">
        <v>25.5982</v>
      </c>
      <c r="I30" s="66">
        <v>31.0341</v>
      </c>
      <c r="J30" s="66">
        <v>27.2947</v>
      </c>
      <c r="K30" s="81">
        <f t="shared" si="2"/>
        <v>5.4359</v>
      </c>
      <c r="L30" s="81">
        <f t="shared" si="3"/>
        <v>1.6965</v>
      </c>
    </row>
    <row r="31">
      <c r="A31" s="82">
        <v>44628.0</v>
      </c>
      <c r="B31" s="82">
        <v>44628.0</v>
      </c>
      <c r="C31" s="66">
        <v>2380.0</v>
      </c>
      <c r="D31" s="66" t="s">
        <v>203</v>
      </c>
      <c r="E31" s="66">
        <v>0.0</v>
      </c>
      <c r="F31" s="66" t="s">
        <v>204</v>
      </c>
      <c r="G31" s="66">
        <f t="shared" si="1"/>
        <v>0</v>
      </c>
      <c r="H31" s="66">
        <v>25.8225</v>
      </c>
      <c r="I31" s="66">
        <v>27.3534</v>
      </c>
      <c r="J31" s="66">
        <v>26.1374</v>
      </c>
      <c r="K31" s="81">
        <f t="shared" si="2"/>
        <v>1.5309</v>
      </c>
      <c r="L31" s="81">
        <f t="shared" si="3"/>
        <v>0.3149</v>
      </c>
    </row>
    <row r="32">
      <c r="A32" s="82">
        <v>44628.0</v>
      </c>
      <c r="B32" s="82">
        <v>44628.0</v>
      </c>
      <c r="C32" s="66">
        <v>2377.0</v>
      </c>
      <c r="D32" s="66" t="s">
        <v>203</v>
      </c>
      <c r="E32" s="66">
        <v>0.0</v>
      </c>
      <c r="F32" s="66" t="s">
        <v>204</v>
      </c>
      <c r="G32" s="66">
        <f t="shared" si="1"/>
        <v>0</v>
      </c>
      <c r="H32" s="66">
        <v>25.8755</v>
      </c>
      <c r="I32" s="66">
        <v>26.4249</v>
      </c>
      <c r="J32" s="66">
        <v>25.9548</v>
      </c>
      <c r="K32" s="81">
        <f t="shared" si="2"/>
        <v>0.5494</v>
      </c>
      <c r="L32" s="81">
        <f t="shared" si="3"/>
        <v>0.0793</v>
      </c>
    </row>
    <row r="33">
      <c r="A33" s="82">
        <v>44628.0</v>
      </c>
      <c r="B33" s="82">
        <v>44628.0</v>
      </c>
      <c r="C33" s="66">
        <v>2381.0</v>
      </c>
      <c r="D33" s="66" t="s">
        <v>203</v>
      </c>
      <c r="E33" s="66">
        <v>1.0</v>
      </c>
      <c r="F33" s="66" t="s">
        <v>204</v>
      </c>
      <c r="G33" s="66">
        <f t="shared" si="1"/>
        <v>0</v>
      </c>
      <c r="H33" s="66">
        <v>26.4243</v>
      </c>
      <c r="I33" s="66">
        <v>33.2753</v>
      </c>
      <c r="J33" s="66">
        <v>30.0694</v>
      </c>
      <c r="K33" s="81">
        <f t="shared" si="2"/>
        <v>6.851</v>
      </c>
      <c r="L33" s="81">
        <f t="shared" si="3"/>
        <v>3.6451</v>
      </c>
    </row>
    <row r="34">
      <c r="A34" s="82">
        <v>44628.0</v>
      </c>
      <c r="B34" s="82">
        <v>44628.0</v>
      </c>
      <c r="C34" s="66">
        <v>2345.0</v>
      </c>
      <c r="D34" s="66" t="s">
        <v>198</v>
      </c>
      <c r="E34" s="66">
        <v>1.0</v>
      </c>
      <c r="F34" s="66" t="s">
        <v>205</v>
      </c>
      <c r="G34" s="66">
        <f t="shared" si="1"/>
        <v>0</v>
      </c>
      <c r="H34" s="66">
        <v>26.129</v>
      </c>
      <c r="I34" s="66">
        <v>33.2676</v>
      </c>
      <c r="J34" s="66">
        <v>30.1496</v>
      </c>
      <c r="K34" s="81">
        <f t="shared" si="2"/>
        <v>7.1386</v>
      </c>
      <c r="L34" s="81">
        <f t="shared" si="3"/>
        <v>4.0206</v>
      </c>
    </row>
    <row r="35">
      <c r="A35" s="82">
        <v>44628.0</v>
      </c>
      <c r="B35" s="82">
        <v>44628.0</v>
      </c>
      <c r="C35" s="66">
        <v>2376.0</v>
      </c>
      <c r="D35" s="66" t="s">
        <v>198</v>
      </c>
      <c r="E35" s="66">
        <v>1.0</v>
      </c>
      <c r="F35" s="66" t="s">
        <v>205</v>
      </c>
      <c r="G35" s="66">
        <f t="shared" si="1"/>
        <v>0</v>
      </c>
      <c r="H35" s="66">
        <v>26.2168</v>
      </c>
      <c r="I35" s="66">
        <v>33.2589</v>
      </c>
      <c r="J35" s="66">
        <v>30.2749</v>
      </c>
      <c r="K35" s="81">
        <f t="shared" si="2"/>
        <v>7.0421</v>
      </c>
      <c r="L35" s="81">
        <f t="shared" si="3"/>
        <v>4.0581</v>
      </c>
    </row>
    <row r="36">
      <c r="A36" s="82">
        <v>44628.0</v>
      </c>
      <c r="B36" s="82">
        <v>44628.0</v>
      </c>
      <c r="C36" s="66">
        <v>2352.0</v>
      </c>
      <c r="D36" s="66" t="s">
        <v>198</v>
      </c>
      <c r="E36" s="66">
        <v>1.0</v>
      </c>
      <c r="F36" s="66" t="s">
        <v>204</v>
      </c>
      <c r="G36" s="66">
        <f t="shared" si="1"/>
        <v>0</v>
      </c>
      <c r="H36" s="66">
        <v>26.2238</v>
      </c>
      <c r="I36" s="66">
        <v>27.3784</v>
      </c>
      <c r="J36" s="66">
        <v>26.9895</v>
      </c>
      <c r="K36" s="81">
        <f t="shared" si="2"/>
        <v>1.1546</v>
      </c>
      <c r="L36" s="81">
        <f t="shared" si="3"/>
        <v>0.7657</v>
      </c>
    </row>
    <row r="37">
      <c r="A37" s="82">
        <v>44628.0</v>
      </c>
      <c r="B37" s="82">
        <v>44628.0</v>
      </c>
      <c r="C37" s="66">
        <v>2377.0</v>
      </c>
      <c r="D37" s="66" t="s">
        <v>198</v>
      </c>
      <c r="E37" s="66">
        <v>0.0</v>
      </c>
      <c r="F37" s="66" t="s">
        <v>205</v>
      </c>
      <c r="G37" s="66">
        <f t="shared" si="1"/>
        <v>0</v>
      </c>
      <c r="H37" s="66">
        <v>26.4458</v>
      </c>
      <c r="I37" s="66">
        <v>33.2495</v>
      </c>
      <c r="J37" s="66">
        <v>28.7968</v>
      </c>
      <c r="K37" s="81">
        <f t="shared" si="2"/>
        <v>6.8037</v>
      </c>
      <c r="L37" s="81">
        <f t="shared" si="3"/>
        <v>2.351</v>
      </c>
    </row>
    <row r="38">
      <c r="A38" s="82">
        <v>44628.0</v>
      </c>
      <c r="B38" s="82">
        <v>44628.0</v>
      </c>
      <c r="C38" s="66">
        <v>2377.0</v>
      </c>
      <c r="D38" s="66" t="s">
        <v>198</v>
      </c>
      <c r="E38" s="66">
        <v>1.0</v>
      </c>
      <c r="F38" s="66" t="s">
        <v>205</v>
      </c>
      <c r="G38" s="66">
        <f t="shared" si="1"/>
        <v>0</v>
      </c>
      <c r="H38" s="66">
        <v>25.9211</v>
      </c>
      <c r="I38" s="66">
        <v>29.3996</v>
      </c>
      <c r="J38" s="66">
        <v>27.7717</v>
      </c>
      <c r="K38" s="81">
        <f t="shared" si="2"/>
        <v>3.4785</v>
      </c>
      <c r="L38" s="81">
        <f t="shared" si="3"/>
        <v>1.8506</v>
      </c>
    </row>
    <row r="39">
      <c r="A39" s="82">
        <v>44628.0</v>
      </c>
      <c r="B39" s="82">
        <v>44628.0</v>
      </c>
      <c r="C39" s="66">
        <v>2366.0</v>
      </c>
      <c r="D39" s="66" t="s">
        <v>203</v>
      </c>
      <c r="E39" s="66">
        <v>0.0</v>
      </c>
      <c r="F39" s="66" t="s">
        <v>204</v>
      </c>
      <c r="G39" s="66">
        <f t="shared" si="1"/>
        <v>0</v>
      </c>
      <c r="H39" s="66">
        <v>26.408</v>
      </c>
      <c r="I39" s="66">
        <v>27.131</v>
      </c>
      <c r="J39" s="66">
        <v>26.6426</v>
      </c>
      <c r="K39" s="81">
        <f t="shared" si="2"/>
        <v>0.723</v>
      </c>
      <c r="L39" s="81">
        <f t="shared" si="3"/>
        <v>0.2346</v>
      </c>
    </row>
    <row r="40">
      <c r="A40" s="82">
        <v>44628.0</v>
      </c>
      <c r="B40" s="82">
        <v>44628.0</v>
      </c>
      <c r="C40" s="66">
        <v>2331.0</v>
      </c>
      <c r="D40" s="66" t="s">
        <v>198</v>
      </c>
      <c r="E40" s="66">
        <v>0.0</v>
      </c>
      <c r="F40" s="66" t="s">
        <v>205</v>
      </c>
      <c r="G40" s="66">
        <f t="shared" si="1"/>
        <v>0</v>
      </c>
      <c r="H40" s="66">
        <v>26.0016</v>
      </c>
      <c r="I40" s="66">
        <v>26.2751</v>
      </c>
      <c r="J40" s="66">
        <v>26.1746</v>
      </c>
      <c r="K40" s="81">
        <f t="shared" si="2"/>
        <v>0.2735</v>
      </c>
      <c r="L40" s="81">
        <f t="shared" si="3"/>
        <v>0.173</v>
      </c>
    </row>
    <row r="41">
      <c r="A41" s="82">
        <v>44628.0</v>
      </c>
      <c r="B41" s="82">
        <v>44628.0</v>
      </c>
      <c r="C41" s="66">
        <v>2381.0</v>
      </c>
      <c r="D41" s="66" t="s">
        <v>198</v>
      </c>
      <c r="E41" s="66">
        <v>0.0</v>
      </c>
      <c r="F41" s="66" t="s">
        <v>205</v>
      </c>
      <c r="G41" s="66">
        <f t="shared" si="1"/>
        <v>0</v>
      </c>
      <c r="H41" s="66">
        <v>26.0106</v>
      </c>
      <c r="I41" s="66">
        <v>37.5514</v>
      </c>
      <c r="J41" s="66">
        <v>30.0872</v>
      </c>
      <c r="K41" s="81">
        <f t="shared" si="2"/>
        <v>11.5408</v>
      </c>
      <c r="L41" s="81">
        <f t="shared" si="3"/>
        <v>4.0766</v>
      </c>
    </row>
    <row r="42">
      <c r="A42" s="82">
        <v>44628.0</v>
      </c>
      <c r="B42" s="82">
        <v>44628.0</v>
      </c>
      <c r="C42" s="66">
        <v>2352.0</v>
      </c>
      <c r="D42" s="66" t="s">
        <v>198</v>
      </c>
      <c r="E42" s="66">
        <v>1.0</v>
      </c>
      <c r="F42" s="66" t="s">
        <v>205</v>
      </c>
      <c r="G42" s="66">
        <f t="shared" si="1"/>
        <v>0</v>
      </c>
      <c r="H42" s="66">
        <v>26.1602</v>
      </c>
      <c r="I42" s="66">
        <v>29.6292</v>
      </c>
      <c r="J42" s="66">
        <v>28.5896</v>
      </c>
      <c r="K42" s="81">
        <f t="shared" si="2"/>
        <v>3.469</v>
      </c>
      <c r="L42" s="81">
        <f t="shared" si="3"/>
        <v>2.4294</v>
      </c>
    </row>
    <row r="43">
      <c r="A43" s="82">
        <v>44628.0</v>
      </c>
      <c r="B43" s="82">
        <v>44628.0</v>
      </c>
      <c r="C43" s="66">
        <v>2366.0</v>
      </c>
      <c r="D43" s="66" t="s">
        <v>203</v>
      </c>
      <c r="E43" s="66">
        <v>1.0</v>
      </c>
      <c r="F43" s="66" t="s">
        <v>204</v>
      </c>
      <c r="G43" s="66">
        <f t="shared" si="1"/>
        <v>0</v>
      </c>
      <c r="H43" s="66">
        <v>25.7031</v>
      </c>
      <c r="I43" s="66">
        <v>32.1357</v>
      </c>
      <c r="J43" s="66">
        <v>29.3333</v>
      </c>
      <c r="K43" s="81">
        <f t="shared" si="2"/>
        <v>6.4326</v>
      </c>
      <c r="L43" s="81">
        <f t="shared" si="3"/>
        <v>3.6302</v>
      </c>
    </row>
    <row r="44">
      <c r="A44" s="82">
        <v>44628.0</v>
      </c>
      <c r="B44" s="82">
        <v>44628.0</v>
      </c>
      <c r="C44" s="66">
        <v>2382.0</v>
      </c>
      <c r="D44" s="66" t="s">
        <v>203</v>
      </c>
      <c r="E44" s="66">
        <v>1.0</v>
      </c>
      <c r="F44" s="66" t="s">
        <v>204</v>
      </c>
      <c r="G44" s="66">
        <f t="shared" si="1"/>
        <v>0</v>
      </c>
      <c r="H44" s="66">
        <v>26.4342</v>
      </c>
      <c r="I44" s="66">
        <v>26.527</v>
      </c>
      <c r="J44" s="66">
        <v>26.4955</v>
      </c>
      <c r="K44" s="81">
        <f t="shared" si="2"/>
        <v>0.0928</v>
      </c>
      <c r="L44" s="81">
        <f t="shared" si="3"/>
        <v>0.0613</v>
      </c>
    </row>
    <row r="45">
      <c r="A45" s="82">
        <v>44628.0</v>
      </c>
      <c r="B45" s="82">
        <v>44628.0</v>
      </c>
      <c r="C45" s="66">
        <v>2366.0</v>
      </c>
      <c r="D45" s="66" t="s">
        <v>203</v>
      </c>
      <c r="E45" s="66">
        <v>1.0</v>
      </c>
      <c r="F45" s="66" t="s">
        <v>205</v>
      </c>
      <c r="G45" s="66">
        <f t="shared" si="1"/>
        <v>0</v>
      </c>
      <c r="H45" s="66">
        <v>26.1558</v>
      </c>
      <c r="I45" s="66">
        <v>29.6391</v>
      </c>
      <c r="J45" s="66">
        <v>27.4731</v>
      </c>
      <c r="K45" s="81">
        <f t="shared" si="2"/>
        <v>3.4833</v>
      </c>
      <c r="L45" s="81">
        <f t="shared" si="3"/>
        <v>1.3173</v>
      </c>
    </row>
    <row r="46">
      <c r="A46" s="82">
        <v>44628.0</v>
      </c>
      <c r="B46" s="82">
        <v>44628.0</v>
      </c>
      <c r="C46" s="66">
        <v>2331.0</v>
      </c>
      <c r="D46" s="66" t="s">
        <v>198</v>
      </c>
      <c r="E46" s="66">
        <v>1.0</v>
      </c>
      <c r="F46" s="66" t="s">
        <v>205</v>
      </c>
      <c r="G46" s="66">
        <f t="shared" si="1"/>
        <v>0</v>
      </c>
      <c r="H46" s="66">
        <v>26.3554</v>
      </c>
      <c r="I46" s="66">
        <v>35.3283</v>
      </c>
      <c r="J46" s="66">
        <v>31.336</v>
      </c>
      <c r="K46" s="81">
        <f t="shared" si="2"/>
        <v>8.9729</v>
      </c>
      <c r="L46" s="81">
        <f t="shared" si="3"/>
        <v>4.9806</v>
      </c>
    </row>
    <row r="47">
      <c r="A47" s="82">
        <v>44628.0</v>
      </c>
      <c r="B47" s="82">
        <v>44628.0</v>
      </c>
      <c r="C47" s="66">
        <v>2007.0</v>
      </c>
      <c r="D47" s="66" t="s">
        <v>198</v>
      </c>
      <c r="E47" s="66">
        <v>0.0</v>
      </c>
      <c r="F47" s="66" t="s">
        <v>205</v>
      </c>
      <c r="G47" s="66">
        <f t="shared" si="1"/>
        <v>0</v>
      </c>
      <c r="H47" s="66">
        <v>26.1478</v>
      </c>
      <c r="I47" s="66">
        <v>34.9278</v>
      </c>
      <c r="J47" s="66">
        <v>29.7047</v>
      </c>
      <c r="K47" s="81">
        <f t="shared" si="2"/>
        <v>8.78</v>
      </c>
      <c r="L47" s="81">
        <f t="shared" si="3"/>
        <v>3.5569</v>
      </c>
    </row>
    <row r="48">
      <c r="A48" s="82">
        <v>44628.0</v>
      </c>
      <c r="B48" s="82">
        <v>44628.0</v>
      </c>
      <c r="C48" s="66">
        <v>2384.0</v>
      </c>
      <c r="D48" s="66" t="s">
        <v>203</v>
      </c>
      <c r="E48" s="66">
        <v>1.0</v>
      </c>
      <c r="F48" s="66" t="s">
        <v>204</v>
      </c>
      <c r="G48" s="66">
        <f t="shared" si="1"/>
        <v>0</v>
      </c>
      <c r="H48" s="66">
        <v>26.5323</v>
      </c>
      <c r="I48" s="66">
        <v>31.9689</v>
      </c>
      <c r="J48" s="66">
        <v>29.6867</v>
      </c>
      <c r="K48" s="81">
        <f t="shared" si="2"/>
        <v>5.4366</v>
      </c>
      <c r="L48" s="81">
        <f t="shared" si="3"/>
        <v>3.1544</v>
      </c>
    </row>
    <row r="49">
      <c r="A49" s="82">
        <v>44628.0</v>
      </c>
      <c r="B49" s="82">
        <v>44628.0</v>
      </c>
      <c r="C49" s="66">
        <v>2381.0</v>
      </c>
      <c r="D49" s="66" t="s">
        <v>203</v>
      </c>
      <c r="E49" s="66">
        <v>0.0</v>
      </c>
      <c r="F49" s="66" t="s">
        <v>205</v>
      </c>
      <c r="G49" s="66">
        <f t="shared" si="1"/>
        <v>0</v>
      </c>
      <c r="H49" s="81">
        <f>AVERAGE(H30:H48)</f>
        <v>26.13505263</v>
      </c>
      <c r="I49" s="66">
        <v>33.6098</v>
      </c>
      <c r="J49" s="66">
        <v>28.4749</v>
      </c>
      <c r="K49" s="81">
        <f t="shared" si="2"/>
        <v>7.474747368</v>
      </c>
      <c r="L49" s="81">
        <f t="shared" si="3"/>
        <v>2.339847368</v>
      </c>
    </row>
    <row r="50">
      <c r="A50" s="82">
        <v>44628.0</v>
      </c>
      <c r="B50" s="82">
        <v>44628.0</v>
      </c>
      <c r="C50" s="66">
        <v>2345.0</v>
      </c>
      <c r="D50" s="66" t="s">
        <v>198</v>
      </c>
      <c r="E50" s="66">
        <v>1.0</v>
      </c>
      <c r="F50" s="66" t="s">
        <v>204</v>
      </c>
      <c r="G50" s="66">
        <f t="shared" si="1"/>
        <v>0</v>
      </c>
      <c r="H50" s="66">
        <v>26.482</v>
      </c>
      <c r="I50" s="66">
        <v>28.1534</v>
      </c>
      <c r="J50" s="66">
        <v>27.4598</v>
      </c>
      <c r="K50" s="81">
        <f t="shared" si="2"/>
        <v>1.6714</v>
      </c>
      <c r="L50" s="81">
        <f t="shared" si="3"/>
        <v>0.9778</v>
      </c>
    </row>
    <row r="51">
      <c r="A51" s="82">
        <v>44628.0</v>
      </c>
      <c r="B51" s="82">
        <v>44628.0</v>
      </c>
      <c r="C51" s="66">
        <v>2384.0</v>
      </c>
      <c r="D51" s="66" t="s">
        <v>203</v>
      </c>
      <c r="E51" s="66">
        <v>0.0</v>
      </c>
      <c r="F51" s="66" t="s">
        <v>204</v>
      </c>
      <c r="G51" s="66">
        <f t="shared" si="1"/>
        <v>0</v>
      </c>
      <c r="H51" s="66">
        <v>26.2965</v>
      </c>
      <c r="I51" s="66">
        <v>26.8908</v>
      </c>
      <c r="J51" s="66">
        <v>26.4628</v>
      </c>
      <c r="K51" s="81">
        <f t="shared" si="2"/>
        <v>0.5943</v>
      </c>
      <c r="L51" s="81">
        <f t="shared" si="3"/>
        <v>0.1663</v>
      </c>
    </row>
    <row r="52">
      <c r="A52" s="82">
        <v>44628.0</v>
      </c>
      <c r="B52" s="82">
        <v>44628.0</v>
      </c>
      <c r="C52" s="66">
        <v>2331.0</v>
      </c>
      <c r="D52" s="66" t="s">
        <v>198</v>
      </c>
      <c r="E52" s="66">
        <v>1.0</v>
      </c>
      <c r="F52" s="66" t="s">
        <v>205</v>
      </c>
      <c r="G52" s="66">
        <f t="shared" si="1"/>
        <v>0</v>
      </c>
      <c r="H52" s="66">
        <v>25.861</v>
      </c>
      <c r="I52" s="66">
        <v>37.3412</v>
      </c>
      <c r="J52" s="66">
        <v>32.2502</v>
      </c>
      <c r="K52" s="81">
        <f t="shared" si="2"/>
        <v>11.4802</v>
      </c>
      <c r="L52" s="81">
        <f t="shared" si="3"/>
        <v>6.3892</v>
      </c>
    </row>
    <row r="53">
      <c r="A53" s="82">
        <v>44628.0</v>
      </c>
      <c r="B53" s="82">
        <v>44628.0</v>
      </c>
      <c r="C53" s="66">
        <v>2376.0</v>
      </c>
      <c r="D53" s="66" t="s">
        <v>198</v>
      </c>
      <c r="E53" s="66">
        <v>1.0</v>
      </c>
      <c r="F53" s="66" t="s">
        <v>204</v>
      </c>
      <c r="G53" s="66">
        <f t="shared" si="1"/>
        <v>0</v>
      </c>
      <c r="H53" s="66">
        <v>26.0469</v>
      </c>
      <c r="I53" s="66">
        <v>27.1779</v>
      </c>
      <c r="J53" s="66">
        <v>26.6832</v>
      </c>
      <c r="K53" s="81">
        <f t="shared" si="2"/>
        <v>1.131</v>
      </c>
      <c r="L53" s="81">
        <f t="shared" si="3"/>
        <v>0.6363</v>
      </c>
    </row>
    <row r="54">
      <c r="A54" s="82">
        <v>44628.0</v>
      </c>
      <c r="B54" s="82">
        <v>44628.0</v>
      </c>
      <c r="C54" s="66">
        <v>2377.0</v>
      </c>
      <c r="D54" s="66" t="s">
        <v>203</v>
      </c>
      <c r="E54" s="66">
        <v>0.0</v>
      </c>
      <c r="F54" s="66" t="s">
        <v>205</v>
      </c>
      <c r="G54" s="66">
        <f t="shared" si="1"/>
        <v>0</v>
      </c>
      <c r="H54" s="66">
        <v>25.815</v>
      </c>
      <c r="I54" s="66">
        <v>26.9402</v>
      </c>
      <c r="J54" s="66">
        <v>26.2056</v>
      </c>
      <c r="K54" s="81">
        <f t="shared" si="2"/>
        <v>1.1252</v>
      </c>
      <c r="L54" s="81">
        <f t="shared" si="3"/>
        <v>0.3906</v>
      </c>
    </row>
    <row r="55">
      <c r="A55" s="82">
        <v>44628.0</v>
      </c>
      <c r="B55" s="82">
        <v>44628.0</v>
      </c>
      <c r="C55" s="66">
        <v>2345.0</v>
      </c>
      <c r="D55" s="66" t="s">
        <v>203</v>
      </c>
      <c r="E55" s="66">
        <v>1.0</v>
      </c>
      <c r="F55" s="66" t="s">
        <v>204</v>
      </c>
      <c r="G55" s="66">
        <f t="shared" si="1"/>
        <v>0</v>
      </c>
      <c r="H55" s="66">
        <v>26.3148</v>
      </c>
      <c r="I55" s="66">
        <v>30.5026</v>
      </c>
      <c r="J55" s="66">
        <v>28.3984</v>
      </c>
      <c r="K55" s="81">
        <f t="shared" si="2"/>
        <v>4.1878</v>
      </c>
      <c r="L55" s="81">
        <f t="shared" si="3"/>
        <v>2.0836</v>
      </c>
    </row>
    <row r="56">
      <c r="A56" s="82">
        <v>44628.0</v>
      </c>
      <c r="B56" s="82">
        <v>44628.0</v>
      </c>
      <c r="C56" s="66">
        <v>2381.0</v>
      </c>
      <c r="D56" s="66" t="s">
        <v>198</v>
      </c>
      <c r="E56" s="66">
        <v>0.0</v>
      </c>
      <c r="F56" s="66" t="s">
        <v>204</v>
      </c>
      <c r="G56" s="66">
        <f t="shared" si="1"/>
        <v>0</v>
      </c>
      <c r="H56" s="66">
        <v>25.9375</v>
      </c>
      <c r="I56" s="66">
        <v>27.2907</v>
      </c>
      <c r="J56" s="66">
        <v>26.2772</v>
      </c>
      <c r="K56" s="81">
        <f t="shared" si="2"/>
        <v>1.3532</v>
      </c>
      <c r="L56" s="81">
        <f t="shared" si="3"/>
        <v>0.3397</v>
      </c>
    </row>
    <row r="57">
      <c r="A57" s="82">
        <v>44628.0</v>
      </c>
      <c r="B57" s="82">
        <v>44628.0</v>
      </c>
      <c r="C57" s="66">
        <v>2301.0</v>
      </c>
      <c r="D57" s="66" t="s">
        <v>198</v>
      </c>
      <c r="E57" s="66">
        <v>1.0</v>
      </c>
      <c r="F57" s="66" t="s">
        <v>204</v>
      </c>
      <c r="G57" s="66">
        <f t="shared" si="1"/>
        <v>0</v>
      </c>
      <c r="H57" s="66">
        <v>26.3736</v>
      </c>
      <c r="I57" s="66">
        <v>27.8293</v>
      </c>
      <c r="J57" s="66">
        <v>26.98</v>
      </c>
      <c r="K57" s="81">
        <f t="shared" si="2"/>
        <v>1.4557</v>
      </c>
      <c r="L57" s="81">
        <f t="shared" si="3"/>
        <v>0.6064</v>
      </c>
    </row>
    <row r="58">
      <c r="A58" s="82">
        <v>44628.0</v>
      </c>
      <c r="B58" s="82">
        <v>44628.0</v>
      </c>
      <c r="C58" s="66">
        <v>2377.0</v>
      </c>
      <c r="D58" s="66" t="s">
        <v>203</v>
      </c>
      <c r="E58" s="66">
        <v>1.0</v>
      </c>
      <c r="F58" s="66" t="s">
        <v>204</v>
      </c>
      <c r="G58" s="66">
        <f t="shared" si="1"/>
        <v>0</v>
      </c>
      <c r="H58" s="66">
        <v>26.2471</v>
      </c>
      <c r="I58" s="66">
        <v>29.8444</v>
      </c>
      <c r="J58" s="66">
        <v>28.3724</v>
      </c>
      <c r="K58" s="81">
        <f t="shared" si="2"/>
        <v>3.5973</v>
      </c>
      <c r="L58" s="81">
        <f t="shared" si="3"/>
        <v>2.1253</v>
      </c>
    </row>
    <row r="59">
      <c r="A59" s="82">
        <v>44628.0</v>
      </c>
      <c r="B59" s="82">
        <v>44628.0</v>
      </c>
      <c r="C59" s="66">
        <v>2382.0</v>
      </c>
      <c r="D59" s="66" t="s">
        <v>203</v>
      </c>
      <c r="E59" s="66">
        <v>1.0</v>
      </c>
      <c r="F59" s="66" t="s">
        <v>205</v>
      </c>
      <c r="G59" s="66">
        <f t="shared" si="1"/>
        <v>0</v>
      </c>
      <c r="H59" s="66">
        <v>25.8928</v>
      </c>
      <c r="I59" s="66">
        <v>34.3957</v>
      </c>
      <c r="J59" s="66">
        <v>28.6951</v>
      </c>
      <c r="K59" s="81">
        <f t="shared" si="2"/>
        <v>8.5029</v>
      </c>
      <c r="L59" s="81">
        <f t="shared" si="3"/>
        <v>2.8023</v>
      </c>
    </row>
    <row r="60">
      <c r="A60" s="82">
        <v>44628.0</v>
      </c>
      <c r="B60" s="82">
        <v>44628.0</v>
      </c>
      <c r="C60" s="66">
        <v>2380.0</v>
      </c>
      <c r="D60" s="66" t="s">
        <v>203</v>
      </c>
      <c r="E60" s="66">
        <v>1.0</v>
      </c>
      <c r="F60" s="66" t="s">
        <v>204</v>
      </c>
      <c r="G60" s="66">
        <f t="shared" si="1"/>
        <v>0</v>
      </c>
      <c r="H60" s="66">
        <v>26.1886</v>
      </c>
      <c r="I60" s="66">
        <v>28.5517</v>
      </c>
      <c r="J60" s="66">
        <v>27.5106</v>
      </c>
      <c r="K60" s="81">
        <f t="shared" si="2"/>
        <v>2.3631</v>
      </c>
      <c r="L60" s="81">
        <f t="shared" si="3"/>
        <v>1.322</v>
      </c>
    </row>
    <row r="61">
      <c r="A61" s="82">
        <v>44628.0</v>
      </c>
      <c r="B61" s="82">
        <v>44628.0</v>
      </c>
      <c r="C61" s="66">
        <v>2381.0</v>
      </c>
      <c r="D61" s="66" t="s">
        <v>203</v>
      </c>
      <c r="E61" s="66">
        <v>0.0</v>
      </c>
      <c r="F61" s="66" t="s">
        <v>205</v>
      </c>
      <c r="G61" s="66">
        <f t="shared" si="1"/>
        <v>0</v>
      </c>
      <c r="H61" s="66">
        <v>25.9892</v>
      </c>
      <c r="I61" s="66">
        <v>33.6098</v>
      </c>
      <c r="J61" s="66">
        <v>28.4749</v>
      </c>
      <c r="K61" s="81">
        <f t="shared" si="2"/>
        <v>7.6206</v>
      </c>
      <c r="L61" s="81">
        <f t="shared" si="3"/>
        <v>2.4857</v>
      </c>
    </row>
    <row r="62">
      <c r="A62" s="82">
        <v>44628.0</v>
      </c>
      <c r="B62" s="82">
        <v>44628.0</v>
      </c>
      <c r="C62" s="66">
        <v>2331.0</v>
      </c>
      <c r="D62" s="66" t="s">
        <v>198</v>
      </c>
      <c r="E62" s="66">
        <v>1.0</v>
      </c>
      <c r="F62" s="66" t="s">
        <v>204</v>
      </c>
      <c r="G62" s="66">
        <f t="shared" si="1"/>
        <v>0</v>
      </c>
      <c r="H62" s="66">
        <v>26.4806</v>
      </c>
      <c r="I62" s="66">
        <v>28.222</v>
      </c>
      <c r="J62" s="66">
        <v>27.5115</v>
      </c>
      <c r="K62" s="81">
        <f t="shared" si="2"/>
        <v>1.7414</v>
      </c>
      <c r="L62" s="81">
        <f t="shared" si="3"/>
        <v>1.0309</v>
      </c>
    </row>
    <row r="63">
      <c r="A63" s="82">
        <v>44628.0</v>
      </c>
      <c r="B63" s="82">
        <v>44628.0</v>
      </c>
      <c r="C63" s="66">
        <v>2381.0</v>
      </c>
      <c r="D63" s="66" t="s">
        <v>203</v>
      </c>
      <c r="E63" s="66">
        <v>1.0</v>
      </c>
      <c r="F63" s="66" t="s">
        <v>205</v>
      </c>
      <c r="G63" s="66">
        <f t="shared" si="1"/>
        <v>0</v>
      </c>
      <c r="H63" s="66">
        <v>26.2971</v>
      </c>
      <c r="I63" s="66">
        <v>26.8225</v>
      </c>
      <c r="J63" s="66">
        <v>26.4057</v>
      </c>
      <c r="K63" s="81">
        <f t="shared" si="2"/>
        <v>0.5254</v>
      </c>
      <c r="L63" s="81">
        <f t="shared" si="3"/>
        <v>0.1086</v>
      </c>
    </row>
    <row r="64">
      <c r="A64" s="82">
        <v>44628.0</v>
      </c>
      <c r="B64" s="82">
        <v>44628.0</v>
      </c>
      <c r="C64" s="66">
        <v>2331.0</v>
      </c>
      <c r="D64" s="66" t="s">
        <v>203</v>
      </c>
      <c r="E64" s="66">
        <v>1.0</v>
      </c>
      <c r="F64" s="66" t="s">
        <v>205</v>
      </c>
      <c r="G64" s="66">
        <f t="shared" si="1"/>
        <v>0</v>
      </c>
      <c r="H64" s="66">
        <v>67.5125</v>
      </c>
      <c r="I64" s="66">
        <v>74.8453</v>
      </c>
      <c r="J64" s="66">
        <v>71.7638</v>
      </c>
      <c r="K64" s="81">
        <f t="shared" si="2"/>
        <v>7.3328</v>
      </c>
      <c r="L64" s="81">
        <f t="shared" si="3"/>
        <v>4.2513</v>
      </c>
    </row>
    <row r="65">
      <c r="A65" s="82">
        <v>44628.0</v>
      </c>
      <c r="B65" s="82">
        <v>44628.0</v>
      </c>
      <c r="C65" s="66">
        <v>2301.0</v>
      </c>
      <c r="D65" s="66" t="s">
        <v>203</v>
      </c>
      <c r="E65" s="66">
        <v>1.0</v>
      </c>
      <c r="F65" s="66" t="s">
        <v>205</v>
      </c>
      <c r="G65" s="66">
        <f t="shared" si="1"/>
        <v>0</v>
      </c>
      <c r="H65" s="66">
        <v>68.0227</v>
      </c>
      <c r="I65" s="66">
        <v>80.4974</v>
      </c>
      <c r="J65" s="66">
        <v>74.9668</v>
      </c>
      <c r="K65" s="81">
        <f t="shared" si="2"/>
        <v>12.4747</v>
      </c>
      <c r="L65" s="81">
        <f t="shared" si="3"/>
        <v>6.9441</v>
      </c>
    </row>
    <row r="66">
      <c r="A66" s="82">
        <v>44628.0</v>
      </c>
      <c r="B66" s="82">
        <v>44628.0</v>
      </c>
      <c r="C66" s="66">
        <v>2301.0</v>
      </c>
      <c r="D66" s="66" t="s">
        <v>203</v>
      </c>
      <c r="E66" s="66">
        <v>1.0</v>
      </c>
      <c r="F66" s="66" t="s">
        <v>204</v>
      </c>
      <c r="G66" s="66">
        <f t="shared" si="1"/>
        <v>0</v>
      </c>
      <c r="H66" s="66">
        <v>67.0112</v>
      </c>
      <c r="I66" s="66">
        <v>68.7194</v>
      </c>
      <c r="J66" s="66">
        <v>67.7746</v>
      </c>
      <c r="K66" s="81">
        <f t="shared" si="2"/>
        <v>1.7082</v>
      </c>
      <c r="L66" s="81">
        <f t="shared" si="3"/>
        <v>0.7634</v>
      </c>
    </row>
    <row r="67">
      <c r="A67" s="82">
        <v>44628.0</v>
      </c>
      <c r="B67" s="82">
        <v>44628.0</v>
      </c>
      <c r="C67" s="66">
        <v>2377.0</v>
      </c>
      <c r="D67" s="66" t="s">
        <v>203</v>
      </c>
      <c r="E67" s="66">
        <v>1.0</v>
      </c>
      <c r="F67" s="66" t="s">
        <v>205</v>
      </c>
      <c r="G67" s="66">
        <f t="shared" si="1"/>
        <v>0</v>
      </c>
      <c r="H67" s="66">
        <v>25.7444</v>
      </c>
      <c r="I67" s="66">
        <v>32.3051</v>
      </c>
      <c r="J67" s="66">
        <v>29.3714</v>
      </c>
      <c r="K67" s="81">
        <f t="shared" si="2"/>
        <v>6.5607</v>
      </c>
      <c r="L67" s="81">
        <f t="shared" si="3"/>
        <v>3.627</v>
      </c>
    </row>
    <row r="68">
      <c r="A68" s="82">
        <v>44628.0</v>
      </c>
      <c r="B68" s="82">
        <v>44628.0</v>
      </c>
      <c r="C68" s="66">
        <v>2331.0</v>
      </c>
      <c r="D68" s="66" t="s">
        <v>203</v>
      </c>
      <c r="E68" s="66">
        <v>0.0</v>
      </c>
      <c r="F68" s="66" t="s">
        <v>204</v>
      </c>
      <c r="G68" s="66">
        <f t="shared" si="1"/>
        <v>0</v>
      </c>
      <c r="H68" s="66">
        <v>68.8236</v>
      </c>
      <c r="I68" s="66">
        <v>68.8772</v>
      </c>
      <c r="J68" s="66">
        <v>69.0008</v>
      </c>
      <c r="K68" s="81">
        <f t="shared" si="2"/>
        <v>0.0536</v>
      </c>
      <c r="L68" s="81">
        <f t="shared" si="3"/>
        <v>0.1772</v>
      </c>
    </row>
    <row r="69">
      <c r="A69" s="82">
        <v>44628.0</v>
      </c>
      <c r="B69" s="82">
        <v>44628.0</v>
      </c>
      <c r="C69" s="66">
        <v>2331.0</v>
      </c>
      <c r="D69" s="66" t="s">
        <v>198</v>
      </c>
      <c r="E69" s="66">
        <v>0.0</v>
      </c>
      <c r="F69" s="66" t="s">
        <v>205</v>
      </c>
      <c r="G69" s="66">
        <f t="shared" si="1"/>
        <v>0</v>
      </c>
      <c r="H69" s="66">
        <v>67.9903</v>
      </c>
      <c r="I69" s="66">
        <v>70.8504</v>
      </c>
      <c r="J69" s="66">
        <v>68.835</v>
      </c>
      <c r="K69" s="81">
        <f t="shared" si="2"/>
        <v>2.8601</v>
      </c>
      <c r="L69" s="81">
        <f t="shared" si="3"/>
        <v>0.8447</v>
      </c>
    </row>
    <row r="70">
      <c r="A70" s="82">
        <v>44631.0</v>
      </c>
      <c r="B70" s="82">
        <v>44631.0</v>
      </c>
      <c r="C70" s="66">
        <v>2383.0</v>
      </c>
      <c r="D70" s="66" t="s">
        <v>203</v>
      </c>
      <c r="E70" s="66">
        <v>1.0</v>
      </c>
      <c r="F70" s="66" t="s">
        <v>204</v>
      </c>
      <c r="G70" s="66">
        <f t="shared" si="1"/>
        <v>0</v>
      </c>
      <c r="H70" s="66">
        <v>26.3175</v>
      </c>
      <c r="I70" s="66">
        <v>27.8424</v>
      </c>
      <c r="J70" s="66">
        <v>26.892</v>
      </c>
      <c r="K70" s="81">
        <f t="shared" si="2"/>
        <v>1.5249</v>
      </c>
      <c r="L70" s="81">
        <f t="shared" si="3"/>
        <v>0.5745</v>
      </c>
    </row>
    <row r="71">
      <c r="A71" s="82">
        <v>44631.0</v>
      </c>
      <c r="B71" s="82">
        <v>44631.0</v>
      </c>
      <c r="C71" s="66">
        <v>2093.0</v>
      </c>
      <c r="D71" s="66" t="s">
        <v>198</v>
      </c>
      <c r="E71" s="66">
        <v>1.0</v>
      </c>
      <c r="F71" s="66" t="s">
        <v>204</v>
      </c>
      <c r="G71" s="66">
        <f t="shared" si="1"/>
        <v>0</v>
      </c>
      <c r="H71" s="66">
        <v>26.715</v>
      </c>
      <c r="I71" s="66">
        <v>28.5841</v>
      </c>
      <c r="J71" s="66">
        <v>27.1515</v>
      </c>
      <c r="K71" s="81">
        <f t="shared" si="2"/>
        <v>1.8691</v>
      </c>
      <c r="L71" s="81">
        <f t="shared" si="3"/>
        <v>0.4365</v>
      </c>
    </row>
    <row r="72">
      <c r="A72" s="82">
        <v>44631.0</v>
      </c>
      <c r="B72" s="82">
        <v>44631.0</v>
      </c>
      <c r="C72" s="66">
        <v>2007.0</v>
      </c>
      <c r="D72" s="66" t="s">
        <v>198</v>
      </c>
      <c r="E72" s="66">
        <v>1.0</v>
      </c>
      <c r="F72" s="66" t="s">
        <v>204</v>
      </c>
      <c r="G72" s="66">
        <f t="shared" si="1"/>
        <v>0</v>
      </c>
      <c r="H72" s="66">
        <v>25.9964</v>
      </c>
      <c r="I72" s="66">
        <v>27.9958</v>
      </c>
      <c r="J72" s="66">
        <v>26.9427</v>
      </c>
      <c r="K72" s="81">
        <f t="shared" si="2"/>
        <v>1.9994</v>
      </c>
      <c r="L72" s="81">
        <f t="shared" si="3"/>
        <v>0.9463</v>
      </c>
    </row>
    <row r="73">
      <c r="A73" s="82">
        <v>44631.0</v>
      </c>
      <c r="B73" s="82">
        <v>44631.0</v>
      </c>
      <c r="C73" s="66">
        <v>2389.0</v>
      </c>
      <c r="D73" s="66" t="s">
        <v>198</v>
      </c>
      <c r="E73" s="66">
        <v>0.0</v>
      </c>
      <c r="F73" s="66" t="s">
        <v>205</v>
      </c>
      <c r="G73" s="66">
        <f t="shared" si="1"/>
        <v>0</v>
      </c>
      <c r="H73" s="66">
        <v>27.1025</v>
      </c>
      <c r="I73" s="66">
        <v>31.1214</v>
      </c>
      <c r="J73" s="66">
        <v>29.3421</v>
      </c>
      <c r="K73" s="81">
        <f t="shared" si="2"/>
        <v>4.0189</v>
      </c>
      <c r="L73" s="81">
        <f t="shared" si="3"/>
        <v>2.2396</v>
      </c>
    </row>
    <row r="74">
      <c r="A74" s="82">
        <v>44631.0</v>
      </c>
      <c r="B74" s="82">
        <v>44631.0</v>
      </c>
      <c r="C74" s="66">
        <v>2004.0</v>
      </c>
      <c r="D74" s="66" t="s">
        <v>203</v>
      </c>
      <c r="E74" s="66">
        <v>1.0</v>
      </c>
      <c r="F74" s="66" t="s">
        <v>204</v>
      </c>
      <c r="G74" s="66">
        <f t="shared" si="1"/>
        <v>0</v>
      </c>
      <c r="H74" s="66">
        <v>27.3436</v>
      </c>
      <c r="I74" s="66">
        <v>29.4057</v>
      </c>
      <c r="J74" s="66">
        <v>28.3781</v>
      </c>
      <c r="K74" s="81">
        <f t="shared" si="2"/>
        <v>2.0621</v>
      </c>
      <c r="L74" s="81">
        <f t="shared" si="3"/>
        <v>1.0345</v>
      </c>
    </row>
    <row r="75">
      <c r="A75" s="82">
        <v>44631.0</v>
      </c>
      <c r="B75" s="82">
        <v>44631.0</v>
      </c>
      <c r="C75" s="66">
        <v>2027.0</v>
      </c>
      <c r="D75" s="66" t="s">
        <v>198</v>
      </c>
      <c r="E75" s="66">
        <v>1.0</v>
      </c>
      <c r="F75" s="66" t="s">
        <v>204</v>
      </c>
      <c r="G75" s="66">
        <f t="shared" si="1"/>
        <v>0</v>
      </c>
      <c r="H75" s="66">
        <v>26.6383</v>
      </c>
      <c r="I75" s="66">
        <v>28.2547</v>
      </c>
      <c r="J75" s="66">
        <v>27.4146</v>
      </c>
      <c r="K75" s="81">
        <f t="shared" si="2"/>
        <v>1.6164</v>
      </c>
      <c r="L75" s="81">
        <f t="shared" si="3"/>
        <v>0.7763</v>
      </c>
    </row>
    <row r="76">
      <c r="A76" s="82">
        <v>44631.0</v>
      </c>
      <c r="B76" s="82">
        <v>44631.0</v>
      </c>
      <c r="C76" s="66">
        <v>2004.0</v>
      </c>
      <c r="D76" s="66" t="s">
        <v>203</v>
      </c>
      <c r="E76" s="66">
        <v>0.0</v>
      </c>
      <c r="F76" s="66" t="s">
        <v>204</v>
      </c>
      <c r="G76" s="66">
        <f t="shared" si="1"/>
        <v>0</v>
      </c>
      <c r="H76" s="66">
        <v>26.0831</v>
      </c>
      <c r="I76" s="66">
        <v>26.822</v>
      </c>
      <c r="J76" s="66">
        <v>26.2899</v>
      </c>
      <c r="K76" s="81">
        <f t="shared" si="2"/>
        <v>0.7389</v>
      </c>
      <c r="L76" s="81">
        <f t="shared" si="3"/>
        <v>0.2068</v>
      </c>
    </row>
    <row r="77">
      <c r="A77" s="82">
        <v>44631.0</v>
      </c>
      <c r="B77" s="82">
        <v>44631.0</v>
      </c>
      <c r="C77" s="66">
        <v>2354.0</v>
      </c>
      <c r="D77" s="66" t="s">
        <v>203</v>
      </c>
      <c r="E77" s="66">
        <v>0.0</v>
      </c>
      <c r="F77" s="66" t="s">
        <v>205</v>
      </c>
      <c r="G77" s="66">
        <f t="shared" si="1"/>
        <v>0</v>
      </c>
      <c r="H77" s="66">
        <v>26.1188</v>
      </c>
      <c r="I77" s="66">
        <v>27.6242</v>
      </c>
      <c r="J77" s="66">
        <v>26.554</v>
      </c>
      <c r="K77" s="81">
        <f t="shared" si="2"/>
        <v>1.5054</v>
      </c>
      <c r="L77" s="81">
        <f t="shared" si="3"/>
        <v>0.4352</v>
      </c>
    </row>
    <row r="78">
      <c r="A78" s="82">
        <v>44631.0</v>
      </c>
      <c r="B78" s="82">
        <v>44631.0</v>
      </c>
      <c r="C78" s="66">
        <v>2020.0</v>
      </c>
      <c r="D78" s="66" t="s">
        <v>198</v>
      </c>
      <c r="E78" s="66">
        <v>1.0</v>
      </c>
      <c r="F78" s="66" t="s">
        <v>204</v>
      </c>
      <c r="G78" s="66">
        <f t="shared" si="1"/>
        <v>0</v>
      </c>
      <c r="H78" s="66">
        <v>26.1146</v>
      </c>
      <c r="I78" s="66">
        <v>27.7506</v>
      </c>
      <c r="J78" s="66">
        <v>26.8911</v>
      </c>
      <c r="K78" s="81">
        <f t="shared" si="2"/>
        <v>1.636</v>
      </c>
      <c r="L78" s="81">
        <f t="shared" si="3"/>
        <v>0.7765</v>
      </c>
    </row>
    <row r="79">
      <c r="A79" s="82">
        <v>44631.0</v>
      </c>
      <c r="B79" s="82">
        <v>44631.0</v>
      </c>
      <c r="C79" s="66">
        <v>2004.0</v>
      </c>
      <c r="D79" s="66" t="s">
        <v>203</v>
      </c>
      <c r="E79" s="66">
        <v>0.0</v>
      </c>
      <c r="F79" s="66" t="s">
        <v>205</v>
      </c>
      <c r="G79" s="66">
        <f t="shared" si="1"/>
        <v>0</v>
      </c>
      <c r="H79" s="66">
        <v>26.5079</v>
      </c>
      <c r="I79" s="66">
        <v>30.8444</v>
      </c>
      <c r="J79" s="66">
        <v>27.8247</v>
      </c>
      <c r="K79" s="81">
        <f t="shared" si="2"/>
        <v>4.3365</v>
      </c>
      <c r="L79" s="81">
        <f t="shared" si="3"/>
        <v>1.3168</v>
      </c>
    </row>
    <row r="80">
      <c r="A80" s="82">
        <v>44631.0</v>
      </c>
      <c r="B80" s="82">
        <v>44631.0</v>
      </c>
      <c r="C80" s="66">
        <v>2383.0</v>
      </c>
      <c r="D80" s="66" t="s">
        <v>203</v>
      </c>
      <c r="E80" s="66">
        <v>0.0</v>
      </c>
      <c r="F80" s="66" t="s">
        <v>205</v>
      </c>
      <c r="G80" s="66">
        <f t="shared" si="1"/>
        <v>0</v>
      </c>
      <c r="H80" s="66">
        <v>26.591</v>
      </c>
      <c r="I80" s="66">
        <v>32.8745</v>
      </c>
      <c r="J80" s="66">
        <v>28.8415</v>
      </c>
      <c r="K80" s="81">
        <f t="shared" si="2"/>
        <v>6.2835</v>
      </c>
      <c r="L80" s="81">
        <f t="shared" si="3"/>
        <v>2.2505</v>
      </c>
    </row>
    <row r="81">
      <c r="A81" s="82">
        <v>44631.0</v>
      </c>
      <c r="B81" s="82">
        <v>44631.0</v>
      </c>
      <c r="C81" s="66">
        <v>2379.0</v>
      </c>
      <c r="D81" s="66" t="s">
        <v>203</v>
      </c>
      <c r="E81" s="66">
        <v>0.0</v>
      </c>
      <c r="F81" s="66" t="s">
        <v>204</v>
      </c>
      <c r="G81" s="66">
        <f t="shared" si="1"/>
        <v>0</v>
      </c>
      <c r="H81" s="66">
        <v>26.0086</v>
      </c>
      <c r="I81" s="66">
        <v>26.7584</v>
      </c>
      <c r="J81" s="66">
        <v>26.2711</v>
      </c>
      <c r="K81" s="81">
        <f t="shared" si="2"/>
        <v>0.7498</v>
      </c>
      <c r="L81" s="81">
        <f t="shared" si="3"/>
        <v>0.2625</v>
      </c>
    </row>
    <row r="82">
      <c r="A82" s="82">
        <v>44631.0</v>
      </c>
      <c r="B82" s="82">
        <v>44631.0</v>
      </c>
      <c r="C82" s="66">
        <v>2004.0</v>
      </c>
      <c r="D82" s="66" t="s">
        <v>198</v>
      </c>
      <c r="E82" s="66">
        <v>0.0</v>
      </c>
      <c r="F82" s="66" t="s">
        <v>205</v>
      </c>
      <c r="G82" s="66">
        <f t="shared" si="1"/>
        <v>0</v>
      </c>
      <c r="H82" s="66">
        <v>26.1604</v>
      </c>
      <c r="I82" s="66">
        <v>39.1714</v>
      </c>
      <c r="J82" s="66">
        <v>30.9888</v>
      </c>
      <c r="K82" s="81">
        <f t="shared" si="2"/>
        <v>13.011</v>
      </c>
      <c r="L82" s="81">
        <f t="shared" si="3"/>
        <v>4.8284</v>
      </c>
    </row>
    <row r="83">
      <c r="A83" s="82">
        <v>44631.0</v>
      </c>
      <c r="B83" s="82">
        <v>44631.0</v>
      </c>
      <c r="C83" s="66">
        <v>2006.0</v>
      </c>
      <c r="D83" s="66" t="s">
        <v>198</v>
      </c>
      <c r="E83" s="66">
        <v>0.0</v>
      </c>
      <c r="F83" s="66" t="s">
        <v>204</v>
      </c>
      <c r="G83" s="66">
        <f t="shared" si="1"/>
        <v>0</v>
      </c>
      <c r="H83" s="66">
        <v>26.695</v>
      </c>
      <c r="I83" s="66">
        <v>28.1281</v>
      </c>
      <c r="J83" s="66">
        <v>27.0556</v>
      </c>
      <c r="K83" s="81">
        <f t="shared" si="2"/>
        <v>1.4331</v>
      </c>
      <c r="L83" s="81">
        <f t="shared" si="3"/>
        <v>0.3606</v>
      </c>
    </row>
    <row r="84">
      <c r="A84" s="82">
        <v>44631.0</v>
      </c>
      <c r="B84" s="82">
        <v>44631.0</v>
      </c>
      <c r="C84" s="66">
        <v>2025.0</v>
      </c>
      <c r="D84" s="66" t="s">
        <v>198</v>
      </c>
      <c r="E84" s="66">
        <v>0.0</v>
      </c>
      <c r="F84" s="66" t="s">
        <v>205</v>
      </c>
      <c r="G84" s="66">
        <f t="shared" si="1"/>
        <v>0</v>
      </c>
      <c r="H84" s="66">
        <v>25.7883</v>
      </c>
      <c r="I84" s="66">
        <v>37.1465</v>
      </c>
      <c r="J84" s="66">
        <v>30.88</v>
      </c>
      <c r="K84" s="81">
        <f t="shared" si="2"/>
        <v>11.3582</v>
      </c>
      <c r="L84" s="81">
        <f t="shared" si="3"/>
        <v>5.0917</v>
      </c>
    </row>
    <row r="85">
      <c r="A85" s="82">
        <v>44631.0</v>
      </c>
      <c r="B85" s="82">
        <v>44631.0</v>
      </c>
      <c r="C85" s="66">
        <v>2023.0</v>
      </c>
      <c r="D85" s="66" t="s">
        <v>198</v>
      </c>
      <c r="E85" s="66">
        <v>1.0</v>
      </c>
      <c r="F85" s="66" t="s">
        <v>205</v>
      </c>
      <c r="G85" s="66">
        <f t="shared" si="1"/>
        <v>0</v>
      </c>
      <c r="H85" s="66">
        <v>26.1884</v>
      </c>
      <c r="I85" s="66">
        <v>35.0817</v>
      </c>
      <c r="J85" s="66">
        <v>31.3726</v>
      </c>
      <c r="K85" s="81">
        <f t="shared" si="2"/>
        <v>8.8933</v>
      </c>
      <c r="L85" s="81">
        <f t="shared" si="3"/>
        <v>5.1842</v>
      </c>
    </row>
    <row r="86">
      <c r="A86" s="82">
        <v>44631.0</v>
      </c>
      <c r="B86" s="82">
        <v>44631.0</v>
      </c>
      <c r="C86" s="66">
        <v>2379.0</v>
      </c>
      <c r="D86" s="66" t="s">
        <v>203</v>
      </c>
      <c r="E86" s="66">
        <v>1.0</v>
      </c>
      <c r="F86" s="66" t="s">
        <v>204</v>
      </c>
      <c r="G86" s="66">
        <f t="shared" si="1"/>
        <v>0</v>
      </c>
      <c r="H86" s="66">
        <v>26.1954</v>
      </c>
      <c r="I86" s="66">
        <v>29.529</v>
      </c>
      <c r="J86" s="66">
        <v>27.9183</v>
      </c>
      <c r="K86" s="81">
        <f t="shared" si="2"/>
        <v>3.3336</v>
      </c>
      <c r="L86" s="81">
        <f t="shared" si="3"/>
        <v>1.7229</v>
      </c>
    </row>
    <row r="87">
      <c r="A87" s="82">
        <v>44631.0</v>
      </c>
      <c r="B87" s="82">
        <v>44631.0</v>
      </c>
      <c r="C87" s="66">
        <v>2005.0</v>
      </c>
      <c r="D87" s="66" t="s">
        <v>203</v>
      </c>
      <c r="E87" s="66">
        <v>1.0</v>
      </c>
      <c r="F87" s="66" t="s">
        <v>204</v>
      </c>
      <c r="G87" s="66">
        <f t="shared" si="1"/>
        <v>0</v>
      </c>
      <c r="H87" s="66">
        <v>26.6506</v>
      </c>
      <c r="I87" s="66">
        <v>28.6965</v>
      </c>
      <c r="J87" s="66">
        <v>27.8575</v>
      </c>
      <c r="K87" s="81">
        <f t="shared" si="2"/>
        <v>2.0459</v>
      </c>
      <c r="L87" s="81">
        <f t="shared" si="3"/>
        <v>1.2069</v>
      </c>
    </row>
    <row r="88">
      <c r="A88" s="82">
        <v>44631.0</v>
      </c>
      <c r="B88" s="82">
        <v>44631.0</v>
      </c>
      <c r="C88" s="66">
        <v>2354.0</v>
      </c>
      <c r="D88" s="66" t="s">
        <v>203</v>
      </c>
      <c r="E88" s="66">
        <v>1.0</v>
      </c>
      <c r="F88" s="66" t="s">
        <v>204</v>
      </c>
      <c r="G88" s="66">
        <f t="shared" si="1"/>
        <v>0</v>
      </c>
      <c r="H88" s="66">
        <v>25.6611</v>
      </c>
      <c r="I88" s="66">
        <v>26.0567</v>
      </c>
      <c r="J88" s="66">
        <v>26.0205</v>
      </c>
      <c r="K88" s="81">
        <f t="shared" si="2"/>
        <v>0.3956</v>
      </c>
      <c r="L88" s="81">
        <f t="shared" si="3"/>
        <v>0.3594</v>
      </c>
    </row>
    <row r="89">
      <c r="A89" s="82">
        <v>44631.0</v>
      </c>
      <c r="B89" s="82">
        <v>44631.0</v>
      </c>
      <c r="C89" s="66">
        <v>2027.0</v>
      </c>
      <c r="D89" s="66" t="s">
        <v>198</v>
      </c>
      <c r="E89" s="66" t="s">
        <v>70</v>
      </c>
      <c r="F89" s="66" t="s">
        <v>204</v>
      </c>
      <c r="G89" s="66">
        <f t="shared" si="1"/>
        <v>0</v>
      </c>
      <c r="H89" s="66">
        <v>26.1929</v>
      </c>
      <c r="I89" s="66">
        <v>26.527</v>
      </c>
      <c r="J89" s="66">
        <v>26.4776</v>
      </c>
      <c r="K89" s="81">
        <f t="shared" si="2"/>
        <v>0.3341</v>
      </c>
      <c r="L89" s="81">
        <f t="shared" si="3"/>
        <v>0.2847</v>
      </c>
    </row>
    <row r="90">
      <c r="A90" s="82">
        <v>44631.0</v>
      </c>
      <c r="B90" s="82">
        <v>44631.0</v>
      </c>
      <c r="C90" s="66">
        <v>2093.0</v>
      </c>
      <c r="D90" s="66" t="s">
        <v>198</v>
      </c>
      <c r="E90" s="66">
        <v>0.0</v>
      </c>
      <c r="F90" s="66" t="s">
        <v>204</v>
      </c>
      <c r="G90" s="66">
        <f t="shared" si="1"/>
        <v>0</v>
      </c>
      <c r="H90" s="66">
        <v>26.3436</v>
      </c>
      <c r="I90" s="66">
        <v>26.8612</v>
      </c>
      <c r="J90" s="66">
        <v>26.8345</v>
      </c>
      <c r="K90" s="81">
        <f t="shared" si="2"/>
        <v>0.5176</v>
      </c>
      <c r="L90" s="81">
        <f t="shared" si="3"/>
        <v>0.4909</v>
      </c>
    </row>
    <row r="91">
      <c r="A91" s="82">
        <v>44631.0</v>
      </c>
      <c r="B91" s="82">
        <v>44631.0</v>
      </c>
      <c r="C91" s="66">
        <v>2331.0</v>
      </c>
      <c r="D91" s="66" t="s">
        <v>203</v>
      </c>
      <c r="E91" s="66">
        <v>0.0</v>
      </c>
      <c r="F91" s="66" t="s">
        <v>205</v>
      </c>
      <c r="G91" s="66">
        <f t="shared" si="1"/>
        <v>0</v>
      </c>
      <c r="H91" s="66">
        <v>26.4989</v>
      </c>
      <c r="I91" s="66">
        <v>26.8559</v>
      </c>
      <c r="J91" s="66">
        <v>26.742</v>
      </c>
      <c r="K91" s="81">
        <f t="shared" si="2"/>
        <v>0.357</v>
      </c>
      <c r="L91" s="81">
        <f t="shared" si="3"/>
        <v>0.2431</v>
      </c>
    </row>
    <row r="92">
      <c r="A92" s="82">
        <v>44631.0</v>
      </c>
      <c r="B92" s="82">
        <v>44631.0</v>
      </c>
      <c r="C92" s="66">
        <v>2331.0</v>
      </c>
      <c r="D92" s="66" t="s">
        <v>203</v>
      </c>
      <c r="E92" s="66">
        <v>1.0</v>
      </c>
      <c r="F92" s="66" t="s">
        <v>205</v>
      </c>
      <c r="G92" s="66">
        <f t="shared" si="1"/>
        <v>0</v>
      </c>
      <c r="H92" s="66">
        <v>26.2989</v>
      </c>
      <c r="I92" s="66">
        <v>31.4016</v>
      </c>
      <c r="J92" s="66">
        <v>29.4747</v>
      </c>
      <c r="K92" s="81">
        <f t="shared" si="2"/>
        <v>5.1027</v>
      </c>
      <c r="L92" s="81">
        <f t="shared" si="3"/>
        <v>3.1758</v>
      </c>
    </row>
    <row r="93">
      <c r="A93" s="82">
        <v>44631.0</v>
      </c>
      <c r="B93" s="82">
        <v>44631.0</v>
      </c>
      <c r="C93" s="66">
        <v>2024.0</v>
      </c>
      <c r="D93" s="66" t="s">
        <v>198</v>
      </c>
      <c r="E93" s="66">
        <v>0.0</v>
      </c>
      <c r="F93" s="66" t="s">
        <v>205</v>
      </c>
      <c r="G93" s="66">
        <f t="shared" si="1"/>
        <v>0</v>
      </c>
      <c r="H93" s="66">
        <v>26.0165</v>
      </c>
      <c r="I93" s="66">
        <v>35.7132</v>
      </c>
      <c r="J93" s="66">
        <v>29.5932</v>
      </c>
      <c r="K93" s="81">
        <f t="shared" si="2"/>
        <v>9.6967</v>
      </c>
      <c r="L93" s="81">
        <f t="shared" si="3"/>
        <v>3.5767</v>
      </c>
    </row>
    <row r="94">
      <c r="A94" s="82">
        <v>44631.0</v>
      </c>
      <c r="B94" s="82">
        <v>44631.0</v>
      </c>
      <c r="C94" s="66">
        <v>2007.0</v>
      </c>
      <c r="D94" s="66" t="s">
        <v>198</v>
      </c>
      <c r="E94" s="66">
        <v>0.0</v>
      </c>
      <c r="F94" s="66" t="s">
        <v>205</v>
      </c>
      <c r="G94" s="66">
        <f t="shared" si="1"/>
        <v>0</v>
      </c>
      <c r="H94" s="66">
        <v>26.3613</v>
      </c>
      <c r="I94" s="66">
        <v>36.2161</v>
      </c>
      <c r="J94" s="66">
        <v>30.7647</v>
      </c>
      <c r="K94" s="81">
        <f t="shared" si="2"/>
        <v>9.8548</v>
      </c>
      <c r="L94" s="81">
        <f t="shared" si="3"/>
        <v>4.4034</v>
      </c>
    </row>
    <row r="95">
      <c r="A95" s="82">
        <v>44631.0</v>
      </c>
      <c r="B95" s="82">
        <v>44631.0</v>
      </c>
      <c r="C95" s="66">
        <v>2007.0</v>
      </c>
      <c r="D95" s="66" t="s">
        <v>203</v>
      </c>
      <c r="E95" s="66">
        <v>0.0</v>
      </c>
      <c r="F95" s="66" t="s">
        <v>204</v>
      </c>
      <c r="G95" s="66">
        <f t="shared" si="1"/>
        <v>0</v>
      </c>
      <c r="H95" s="66">
        <v>26.0844</v>
      </c>
      <c r="I95" s="66">
        <v>27.213</v>
      </c>
      <c r="J95" s="66">
        <v>26.329</v>
      </c>
      <c r="K95" s="81">
        <f t="shared" si="2"/>
        <v>1.1286</v>
      </c>
      <c r="L95" s="81">
        <f t="shared" si="3"/>
        <v>0.2446</v>
      </c>
    </row>
    <row r="96">
      <c r="A96" s="82">
        <v>44631.0</v>
      </c>
      <c r="B96" s="82">
        <v>44631.0</v>
      </c>
      <c r="C96" s="66">
        <v>2331.0</v>
      </c>
      <c r="D96" s="66" t="s">
        <v>203</v>
      </c>
      <c r="E96" s="66">
        <v>1.0</v>
      </c>
      <c r="F96" s="66" t="s">
        <v>204</v>
      </c>
      <c r="G96" s="66">
        <f t="shared" si="1"/>
        <v>0</v>
      </c>
      <c r="H96" s="66">
        <v>26.486</v>
      </c>
      <c r="I96" s="66">
        <v>27.8727</v>
      </c>
      <c r="J96" s="66">
        <v>27.066</v>
      </c>
      <c r="K96" s="81">
        <f t="shared" si="2"/>
        <v>1.3867</v>
      </c>
      <c r="L96" s="81">
        <f t="shared" si="3"/>
        <v>0.58</v>
      </c>
    </row>
    <row r="97">
      <c r="A97" s="82">
        <v>44631.0</v>
      </c>
      <c r="B97" s="82">
        <v>44631.0</v>
      </c>
      <c r="C97" s="66">
        <v>2093.0</v>
      </c>
      <c r="D97" s="66" t="s">
        <v>198</v>
      </c>
      <c r="E97" s="66">
        <v>0.0</v>
      </c>
      <c r="F97" s="66" t="s">
        <v>205</v>
      </c>
      <c r="G97" s="66">
        <f t="shared" si="1"/>
        <v>0</v>
      </c>
      <c r="H97" s="66">
        <v>26.4098</v>
      </c>
      <c r="I97" s="66">
        <v>32.1488</v>
      </c>
      <c r="J97" s="66">
        <v>29.7131</v>
      </c>
      <c r="K97" s="81">
        <f t="shared" si="2"/>
        <v>5.739</v>
      </c>
      <c r="L97" s="81">
        <f t="shared" si="3"/>
        <v>3.3033</v>
      </c>
    </row>
    <row r="98">
      <c r="A98" s="82">
        <v>44631.0</v>
      </c>
      <c r="B98" s="82">
        <v>44631.0</v>
      </c>
      <c r="C98" s="66">
        <v>2005.0</v>
      </c>
      <c r="D98" s="66" t="s">
        <v>203</v>
      </c>
      <c r="E98" s="66">
        <v>0.0</v>
      </c>
      <c r="F98" s="66" t="s">
        <v>204</v>
      </c>
      <c r="G98" s="66">
        <f t="shared" si="1"/>
        <v>0</v>
      </c>
      <c r="H98" s="66">
        <v>26.3515</v>
      </c>
      <c r="I98" s="66">
        <v>27.3576</v>
      </c>
      <c r="J98" s="66">
        <v>26.644</v>
      </c>
      <c r="K98" s="81">
        <f t="shared" si="2"/>
        <v>1.0061</v>
      </c>
      <c r="L98" s="81">
        <f t="shared" si="3"/>
        <v>0.2925</v>
      </c>
    </row>
    <row r="99">
      <c r="A99" s="82">
        <v>44631.0</v>
      </c>
      <c r="B99" s="82">
        <v>44631.0</v>
      </c>
      <c r="C99" s="66">
        <v>2006.0</v>
      </c>
      <c r="D99" s="66" t="s">
        <v>198</v>
      </c>
      <c r="E99" s="66">
        <v>1.0</v>
      </c>
      <c r="F99" s="66" t="s">
        <v>204</v>
      </c>
      <c r="G99" s="66">
        <f t="shared" si="1"/>
        <v>0</v>
      </c>
      <c r="H99" s="66">
        <v>26.2086</v>
      </c>
      <c r="I99" s="66">
        <v>27.4504</v>
      </c>
      <c r="J99" s="66">
        <v>26.8636</v>
      </c>
      <c r="K99" s="81">
        <f t="shared" si="2"/>
        <v>1.2418</v>
      </c>
      <c r="L99" s="81">
        <f t="shared" si="3"/>
        <v>0.655</v>
      </c>
    </row>
    <row r="100">
      <c r="A100" s="82">
        <v>44631.0</v>
      </c>
      <c r="B100" s="82">
        <v>44631.0</v>
      </c>
      <c r="C100" s="66">
        <v>2007.0</v>
      </c>
      <c r="D100" s="66" t="s">
        <v>203</v>
      </c>
      <c r="E100" s="66">
        <v>0.0</v>
      </c>
      <c r="F100" s="66" t="s">
        <v>205</v>
      </c>
      <c r="G100" s="66">
        <f t="shared" si="1"/>
        <v>0</v>
      </c>
      <c r="H100" s="66">
        <v>26.7436</v>
      </c>
      <c r="I100" s="66">
        <v>33.5784</v>
      </c>
      <c r="J100" s="66">
        <v>29.1729</v>
      </c>
      <c r="K100" s="81">
        <f t="shared" si="2"/>
        <v>6.8348</v>
      </c>
      <c r="L100" s="81">
        <f t="shared" si="3"/>
        <v>2.4293</v>
      </c>
    </row>
    <row r="101">
      <c r="A101" s="82">
        <v>44631.0</v>
      </c>
      <c r="B101" s="82">
        <v>44631.0</v>
      </c>
      <c r="C101" s="66">
        <v>2006.0</v>
      </c>
      <c r="D101" s="66" t="s">
        <v>203</v>
      </c>
      <c r="E101" s="66">
        <v>0.0</v>
      </c>
      <c r="F101" s="66" t="s">
        <v>204</v>
      </c>
      <c r="G101" s="66">
        <f t="shared" si="1"/>
        <v>0</v>
      </c>
      <c r="H101" s="66">
        <v>26.8254</v>
      </c>
      <c r="I101" s="66">
        <v>27.3288</v>
      </c>
      <c r="J101" s="66">
        <v>26.9929</v>
      </c>
      <c r="K101" s="81">
        <f t="shared" si="2"/>
        <v>0.5034</v>
      </c>
      <c r="L101" s="81">
        <f t="shared" si="3"/>
        <v>0.1675</v>
      </c>
    </row>
    <row r="102">
      <c r="A102" s="82">
        <v>44631.0</v>
      </c>
      <c r="B102" s="82">
        <v>44631.0</v>
      </c>
      <c r="C102" s="66">
        <v>2005.0</v>
      </c>
      <c r="D102" s="66" t="s">
        <v>203</v>
      </c>
      <c r="E102" s="66">
        <v>0.0</v>
      </c>
      <c r="F102" s="66" t="s">
        <v>205</v>
      </c>
      <c r="G102" s="66">
        <f t="shared" si="1"/>
        <v>0</v>
      </c>
      <c r="H102" s="66">
        <v>26.2284</v>
      </c>
      <c r="I102" s="66">
        <v>35.0762</v>
      </c>
      <c r="J102" s="66">
        <v>29.0243</v>
      </c>
      <c r="K102" s="81">
        <f t="shared" si="2"/>
        <v>8.8478</v>
      </c>
      <c r="L102" s="81">
        <f t="shared" si="3"/>
        <v>2.7959</v>
      </c>
    </row>
    <row r="103">
      <c r="A103" s="82">
        <v>44631.0</v>
      </c>
      <c r="B103" s="82">
        <v>44631.0</v>
      </c>
      <c r="C103" s="66">
        <v>2331.0</v>
      </c>
      <c r="D103" s="66" t="s">
        <v>203</v>
      </c>
      <c r="E103" s="66">
        <v>0.0</v>
      </c>
      <c r="F103" s="66" t="s">
        <v>204</v>
      </c>
      <c r="G103" s="66">
        <f t="shared" si="1"/>
        <v>0</v>
      </c>
      <c r="H103" s="66">
        <v>26.1562</v>
      </c>
      <c r="I103" s="66">
        <v>26.5737</v>
      </c>
      <c r="J103" s="66">
        <v>26.1754</v>
      </c>
      <c r="K103" s="81">
        <f t="shared" si="2"/>
        <v>0.4175</v>
      </c>
      <c r="L103" s="81">
        <f t="shared" si="3"/>
        <v>0.0192</v>
      </c>
    </row>
    <row r="104">
      <c r="A104" s="82">
        <v>44631.0</v>
      </c>
      <c r="B104" s="82">
        <v>44631.0</v>
      </c>
      <c r="C104" s="66">
        <v>2004.0</v>
      </c>
      <c r="D104" s="66" t="s">
        <v>198</v>
      </c>
      <c r="E104" s="66">
        <v>1.0</v>
      </c>
      <c r="F104" s="66" t="s">
        <v>204</v>
      </c>
      <c r="G104" s="66">
        <f t="shared" si="1"/>
        <v>0</v>
      </c>
      <c r="H104" s="66">
        <v>26.75</v>
      </c>
      <c r="I104" s="66">
        <v>28.7673</v>
      </c>
      <c r="J104" s="66">
        <v>27.5807</v>
      </c>
      <c r="K104" s="81">
        <f t="shared" si="2"/>
        <v>2.0173</v>
      </c>
      <c r="L104" s="81">
        <f t="shared" si="3"/>
        <v>0.8307</v>
      </c>
    </row>
    <row r="105">
      <c r="A105" s="82">
        <v>44631.0</v>
      </c>
      <c r="B105" s="82">
        <v>44631.0</v>
      </c>
      <c r="C105" s="66">
        <v>2023.0</v>
      </c>
      <c r="D105" s="66" t="s">
        <v>198</v>
      </c>
      <c r="E105" s="66">
        <v>1.0</v>
      </c>
      <c r="F105" s="66" t="s">
        <v>204</v>
      </c>
      <c r="G105" s="66">
        <f t="shared" si="1"/>
        <v>0</v>
      </c>
      <c r="H105" s="66">
        <v>15.2661</v>
      </c>
      <c r="I105" s="66">
        <v>17.5757</v>
      </c>
      <c r="J105" s="66">
        <v>16.2664</v>
      </c>
      <c r="K105" s="81">
        <f t="shared" si="2"/>
        <v>2.3096</v>
      </c>
      <c r="L105" s="81">
        <f t="shared" si="3"/>
        <v>1.0003</v>
      </c>
      <c r="N105" s="66" t="s">
        <v>206</v>
      </c>
    </row>
    <row r="106">
      <c r="A106" s="82">
        <v>44631.0</v>
      </c>
      <c r="B106" s="82">
        <v>44631.0</v>
      </c>
      <c r="C106" s="66">
        <v>2023.0</v>
      </c>
      <c r="D106" s="66" t="s">
        <v>198</v>
      </c>
      <c r="E106" s="66">
        <v>0.0</v>
      </c>
      <c r="F106" s="66" t="s">
        <v>204</v>
      </c>
      <c r="G106" s="66">
        <f t="shared" si="1"/>
        <v>0</v>
      </c>
      <c r="H106" s="66">
        <v>15.4284</v>
      </c>
      <c r="I106" s="66">
        <v>16.2882</v>
      </c>
      <c r="J106" s="66">
        <v>15.7615</v>
      </c>
      <c r="K106" s="81">
        <f t="shared" si="2"/>
        <v>0.8598</v>
      </c>
      <c r="L106" s="81">
        <f t="shared" si="3"/>
        <v>0.3331</v>
      </c>
    </row>
    <row r="107">
      <c r="A107" s="82">
        <v>44631.0</v>
      </c>
      <c r="B107" s="82">
        <v>44631.0</v>
      </c>
      <c r="C107" s="66">
        <v>2024.0</v>
      </c>
      <c r="D107" s="66" t="s">
        <v>198</v>
      </c>
      <c r="E107" s="66">
        <v>1.0</v>
      </c>
      <c r="F107" s="66" t="s">
        <v>204</v>
      </c>
      <c r="G107" s="66">
        <f t="shared" si="1"/>
        <v>0</v>
      </c>
      <c r="H107" s="66">
        <v>15.8195</v>
      </c>
      <c r="I107" s="66">
        <v>16.585</v>
      </c>
      <c r="J107" s="66">
        <v>16.3862</v>
      </c>
      <c r="K107" s="81">
        <f t="shared" si="2"/>
        <v>0.7655</v>
      </c>
      <c r="L107" s="81">
        <f t="shared" si="3"/>
        <v>0.5667</v>
      </c>
    </row>
    <row r="108">
      <c r="A108" s="82">
        <v>44631.0</v>
      </c>
      <c r="B108" s="82">
        <v>44631.0</v>
      </c>
      <c r="C108" s="66">
        <v>2389.0</v>
      </c>
      <c r="D108" s="66" t="s">
        <v>198</v>
      </c>
      <c r="E108" s="66">
        <v>1.0</v>
      </c>
      <c r="F108" s="66" t="s">
        <v>204</v>
      </c>
      <c r="G108" s="66">
        <f t="shared" si="1"/>
        <v>0</v>
      </c>
      <c r="H108" s="66">
        <v>26.799</v>
      </c>
      <c r="I108" s="66">
        <v>27.7424</v>
      </c>
      <c r="J108" s="66">
        <v>27.4187</v>
      </c>
      <c r="K108" s="81">
        <f t="shared" si="2"/>
        <v>0.9434</v>
      </c>
      <c r="L108" s="81">
        <f t="shared" si="3"/>
        <v>0.6197</v>
      </c>
    </row>
    <row r="109">
      <c r="A109" s="82">
        <v>44631.0</v>
      </c>
      <c r="B109" s="82">
        <v>44631.0</v>
      </c>
      <c r="C109" s="66">
        <v>2379.0</v>
      </c>
      <c r="D109" s="66" t="s">
        <v>203</v>
      </c>
      <c r="E109" s="66">
        <v>0.0</v>
      </c>
      <c r="F109" s="66" t="s">
        <v>205</v>
      </c>
      <c r="G109" s="66">
        <f t="shared" si="1"/>
        <v>0</v>
      </c>
      <c r="H109" s="66">
        <v>26.7037</v>
      </c>
      <c r="I109" s="66">
        <v>34.3859</v>
      </c>
      <c r="J109" s="66">
        <v>30.0216</v>
      </c>
      <c r="K109" s="81">
        <f t="shared" si="2"/>
        <v>7.6822</v>
      </c>
      <c r="L109" s="81">
        <f t="shared" si="3"/>
        <v>3.3179</v>
      </c>
    </row>
    <row r="110">
      <c r="A110" s="82">
        <v>44631.0</v>
      </c>
      <c r="B110" s="82">
        <v>44631.0</v>
      </c>
      <c r="C110" s="66">
        <v>2020.0</v>
      </c>
      <c r="D110" s="66" t="s">
        <v>198</v>
      </c>
      <c r="E110" s="66">
        <v>0.0</v>
      </c>
      <c r="F110" s="66" t="s">
        <v>205</v>
      </c>
      <c r="G110" s="66">
        <f t="shared" si="1"/>
        <v>0</v>
      </c>
      <c r="H110" s="66">
        <v>25.9189</v>
      </c>
      <c r="I110" s="66">
        <v>39.1155</v>
      </c>
      <c r="J110" s="66">
        <v>31.6403</v>
      </c>
      <c r="K110" s="81">
        <f t="shared" si="2"/>
        <v>13.1966</v>
      </c>
      <c r="L110" s="81">
        <f t="shared" si="3"/>
        <v>5.7214</v>
      </c>
    </row>
    <row r="111">
      <c r="A111" s="82">
        <v>44631.0</v>
      </c>
      <c r="B111" s="82">
        <v>44631.0</v>
      </c>
      <c r="C111" s="66">
        <v>2378.0</v>
      </c>
      <c r="D111" s="66" t="s">
        <v>203</v>
      </c>
      <c r="E111" s="66">
        <v>0.0</v>
      </c>
      <c r="F111" s="66" t="s">
        <v>204</v>
      </c>
      <c r="G111" s="66">
        <f t="shared" si="1"/>
        <v>0</v>
      </c>
      <c r="H111" s="66">
        <v>26.0315</v>
      </c>
      <c r="I111" s="66">
        <v>27.2427</v>
      </c>
      <c r="J111" s="66">
        <v>26.3055</v>
      </c>
      <c r="K111" s="81">
        <f t="shared" si="2"/>
        <v>1.2112</v>
      </c>
      <c r="L111" s="81">
        <f t="shared" si="3"/>
        <v>0.274</v>
      </c>
    </row>
    <row r="112">
      <c r="A112" s="82">
        <v>44631.0</v>
      </c>
      <c r="B112" s="82">
        <v>44631.0</v>
      </c>
      <c r="C112" s="66">
        <v>2025.0</v>
      </c>
      <c r="D112" s="66" t="s">
        <v>198</v>
      </c>
      <c r="E112" s="66">
        <v>1.0</v>
      </c>
      <c r="F112" s="66" t="s">
        <v>204</v>
      </c>
      <c r="G112" s="66">
        <f t="shared" si="1"/>
        <v>0</v>
      </c>
      <c r="H112" s="66">
        <v>26.3477</v>
      </c>
      <c r="I112" s="66">
        <v>27.3011</v>
      </c>
      <c r="J112" s="66">
        <v>26.8559</v>
      </c>
      <c r="K112" s="81">
        <f t="shared" si="2"/>
        <v>0.9534</v>
      </c>
      <c r="L112" s="81">
        <f t="shared" si="3"/>
        <v>0.5082</v>
      </c>
    </row>
    <row r="113">
      <c r="A113" s="82">
        <v>44631.0</v>
      </c>
      <c r="B113" s="82">
        <v>44631.0</v>
      </c>
      <c r="C113" s="66">
        <v>2383.0</v>
      </c>
      <c r="D113" s="66" t="s">
        <v>203</v>
      </c>
      <c r="E113" s="66">
        <v>0.0</v>
      </c>
      <c r="F113" s="66" t="s">
        <v>204</v>
      </c>
      <c r="G113" s="66">
        <f t="shared" si="1"/>
        <v>0</v>
      </c>
      <c r="H113" s="66">
        <v>26.6503</v>
      </c>
      <c r="I113" s="66">
        <v>26.8188</v>
      </c>
      <c r="J113" s="66">
        <v>26.8068</v>
      </c>
      <c r="K113" s="81">
        <f t="shared" si="2"/>
        <v>0.1685</v>
      </c>
      <c r="L113" s="81">
        <f t="shared" si="3"/>
        <v>0.1565</v>
      </c>
    </row>
    <row r="114">
      <c r="A114" s="82">
        <v>44631.0</v>
      </c>
      <c r="B114" s="82">
        <v>44631.0</v>
      </c>
      <c r="C114" s="66">
        <v>2354.0</v>
      </c>
      <c r="D114" s="66" t="s">
        <v>203</v>
      </c>
      <c r="E114" s="66">
        <v>0.0</v>
      </c>
      <c r="F114" s="66" t="s">
        <v>204</v>
      </c>
      <c r="G114" s="66">
        <f t="shared" si="1"/>
        <v>0</v>
      </c>
      <c r="H114" s="66">
        <v>25.8248</v>
      </c>
      <c r="I114" s="66">
        <v>26.3744</v>
      </c>
      <c r="J114" s="66">
        <v>25.8735</v>
      </c>
      <c r="K114" s="81">
        <f t="shared" si="2"/>
        <v>0.5496</v>
      </c>
      <c r="L114" s="81">
        <f t="shared" si="3"/>
        <v>0.0487</v>
      </c>
    </row>
    <row r="115">
      <c r="A115" s="82">
        <v>44631.0</v>
      </c>
      <c r="B115" s="82">
        <v>44631.0</v>
      </c>
      <c r="C115" s="66">
        <v>2089.0</v>
      </c>
      <c r="D115" s="66" t="s">
        <v>198</v>
      </c>
      <c r="E115" s="66">
        <v>0.0</v>
      </c>
      <c r="F115" s="66" t="s">
        <v>204</v>
      </c>
      <c r="G115" s="66">
        <f t="shared" si="1"/>
        <v>0</v>
      </c>
      <c r="H115" s="66">
        <v>15.1028</v>
      </c>
      <c r="I115" s="66">
        <v>15.7034</v>
      </c>
      <c r="J115" s="66">
        <v>15.4661</v>
      </c>
      <c r="K115" s="81">
        <f t="shared" si="2"/>
        <v>0.6006</v>
      </c>
      <c r="L115" s="81">
        <f t="shared" si="3"/>
        <v>0.3633</v>
      </c>
    </row>
    <row r="116">
      <c r="A116" s="82">
        <v>44631.0</v>
      </c>
      <c r="B116" s="82">
        <v>44631.0</v>
      </c>
      <c r="C116" s="66">
        <v>2020.0</v>
      </c>
      <c r="D116" s="66" t="s">
        <v>198</v>
      </c>
      <c r="E116" s="66">
        <v>0.0</v>
      </c>
      <c r="F116" s="66" t="s">
        <v>204</v>
      </c>
      <c r="G116" s="66">
        <f t="shared" si="1"/>
        <v>0</v>
      </c>
      <c r="H116" s="66">
        <v>15.2598</v>
      </c>
      <c r="I116" s="66">
        <v>16.5178</v>
      </c>
      <c r="J116" s="66">
        <v>15.5826</v>
      </c>
      <c r="K116" s="81">
        <f t="shared" si="2"/>
        <v>1.258</v>
      </c>
      <c r="L116" s="81">
        <f t="shared" si="3"/>
        <v>0.3228</v>
      </c>
    </row>
    <row r="117">
      <c r="A117" s="82">
        <v>44631.0</v>
      </c>
      <c r="B117" s="82">
        <v>44631.0</v>
      </c>
      <c r="C117" s="66">
        <v>2004.0</v>
      </c>
      <c r="D117" s="66" t="s">
        <v>198</v>
      </c>
      <c r="E117" s="66">
        <v>0.0</v>
      </c>
      <c r="F117" s="66" t="s">
        <v>205</v>
      </c>
      <c r="G117" s="66">
        <f t="shared" si="1"/>
        <v>0</v>
      </c>
      <c r="H117" s="66">
        <v>26.5358</v>
      </c>
      <c r="I117" s="66">
        <v>35.0647</v>
      </c>
      <c r="J117" s="66">
        <v>29.5673</v>
      </c>
      <c r="K117" s="81">
        <f t="shared" si="2"/>
        <v>8.5289</v>
      </c>
      <c r="L117" s="81">
        <f t="shared" si="3"/>
        <v>3.0315</v>
      </c>
    </row>
    <row r="118">
      <c r="A118" s="82">
        <v>44631.0</v>
      </c>
      <c r="B118" s="82">
        <v>44631.0</v>
      </c>
      <c r="C118" s="66">
        <v>2023.0</v>
      </c>
      <c r="D118" s="66" t="s">
        <v>198</v>
      </c>
      <c r="E118" s="66">
        <v>0.0</v>
      </c>
      <c r="F118" s="66" t="s">
        <v>205</v>
      </c>
      <c r="G118" s="66">
        <f t="shared" si="1"/>
        <v>0</v>
      </c>
      <c r="H118" s="66">
        <v>26.6805</v>
      </c>
      <c r="I118" s="66">
        <v>32.709</v>
      </c>
      <c r="J118" s="66">
        <v>29.5144</v>
      </c>
      <c r="K118" s="81">
        <f t="shared" si="2"/>
        <v>6.0285</v>
      </c>
      <c r="L118" s="81">
        <f t="shared" si="3"/>
        <v>2.8339</v>
      </c>
    </row>
    <row r="119">
      <c r="A119" s="82">
        <v>44631.0</v>
      </c>
      <c r="B119" s="82">
        <v>44631.0</v>
      </c>
      <c r="C119" s="66">
        <v>2021.0</v>
      </c>
      <c r="D119" s="66" t="s">
        <v>198</v>
      </c>
      <c r="E119" s="66">
        <v>1.0</v>
      </c>
      <c r="F119" s="66" t="s">
        <v>204</v>
      </c>
      <c r="G119" s="66">
        <f t="shared" si="1"/>
        <v>0</v>
      </c>
      <c r="H119" s="66">
        <v>25.9519</v>
      </c>
      <c r="I119" s="66">
        <v>29.5548</v>
      </c>
      <c r="J119" s="66">
        <v>27.958</v>
      </c>
      <c r="K119" s="81">
        <f t="shared" si="2"/>
        <v>3.6029</v>
      </c>
      <c r="L119" s="81">
        <f t="shared" si="3"/>
        <v>2.0061</v>
      </c>
      <c r="N119" s="66" t="s">
        <v>207</v>
      </c>
    </row>
    <row r="120">
      <c r="A120" s="82">
        <v>44631.0</v>
      </c>
      <c r="B120" s="82">
        <v>44631.0</v>
      </c>
      <c r="C120" s="66">
        <v>2006.0</v>
      </c>
      <c r="D120" s="66" t="s">
        <v>198</v>
      </c>
      <c r="E120" s="66">
        <v>0.0</v>
      </c>
      <c r="F120" s="66" t="s">
        <v>205</v>
      </c>
      <c r="G120" s="66">
        <f t="shared" si="1"/>
        <v>0</v>
      </c>
      <c r="H120" s="66">
        <v>26.3033</v>
      </c>
      <c r="I120" s="66">
        <v>34.7691</v>
      </c>
      <c r="J120" s="66">
        <v>29.558</v>
      </c>
      <c r="K120" s="81">
        <f t="shared" si="2"/>
        <v>8.4658</v>
      </c>
      <c r="L120" s="81">
        <f t="shared" si="3"/>
        <v>3.2547</v>
      </c>
    </row>
    <row r="121">
      <c r="A121" s="82">
        <v>44631.0</v>
      </c>
      <c r="B121" s="82">
        <v>44631.0</v>
      </c>
      <c r="C121" s="66">
        <v>2021.0</v>
      </c>
      <c r="D121" s="66" t="s">
        <v>198</v>
      </c>
      <c r="E121" s="66">
        <v>0.0</v>
      </c>
      <c r="F121" s="66" t="s">
        <v>204</v>
      </c>
      <c r="G121" s="66">
        <f t="shared" si="1"/>
        <v>0</v>
      </c>
      <c r="H121" s="66">
        <v>25.9761</v>
      </c>
      <c r="I121" s="66">
        <v>27.0595</v>
      </c>
      <c r="J121" s="66">
        <v>26.2569</v>
      </c>
      <c r="K121" s="81">
        <f t="shared" si="2"/>
        <v>1.0834</v>
      </c>
      <c r="L121" s="81">
        <f t="shared" si="3"/>
        <v>0.2808</v>
      </c>
    </row>
    <row r="122">
      <c r="A122" s="82">
        <v>44631.0</v>
      </c>
      <c r="B122" s="82">
        <v>44631.0</v>
      </c>
      <c r="C122" s="66">
        <v>2025.0</v>
      </c>
      <c r="D122" s="66" t="s">
        <v>198</v>
      </c>
      <c r="E122" s="66">
        <v>0.0</v>
      </c>
      <c r="F122" s="66" t="s">
        <v>204</v>
      </c>
      <c r="G122" s="66">
        <f t="shared" si="1"/>
        <v>0</v>
      </c>
      <c r="H122" s="66">
        <v>26.3129</v>
      </c>
      <c r="I122" s="66">
        <v>27.673</v>
      </c>
      <c r="J122" s="66">
        <v>26.7929</v>
      </c>
      <c r="K122" s="81">
        <f t="shared" si="2"/>
        <v>1.3601</v>
      </c>
      <c r="L122" s="81">
        <f t="shared" si="3"/>
        <v>0.48</v>
      </c>
    </row>
    <row r="123">
      <c r="A123" s="82">
        <v>44631.0</v>
      </c>
      <c r="B123" s="82">
        <v>44631.0</v>
      </c>
      <c r="C123" s="66">
        <v>2389.0</v>
      </c>
      <c r="D123" s="66" t="s">
        <v>198</v>
      </c>
      <c r="E123" s="66">
        <v>1.0</v>
      </c>
      <c r="F123" s="66" t="s">
        <v>205</v>
      </c>
      <c r="G123" s="66">
        <f t="shared" si="1"/>
        <v>0</v>
      </c>
      <c r="H123" s="66">
        <v>26.1107</v>
      </c>
      <c r="I123" s="66">
        <v>31.0779</v>
      </c>
      <c r="J123" s="66">
        <v>28.7104</v>
      </c>
      <c r="K123" s="81">
        <f t="shared" si="2"/>
        <v>4.9672</v>
      </c>
      <c r="L123" s="81">
        <f t="shared" si="3"/>
        <v>2.5997</v>
      </c>
    </row>
    <row r="124">
      <c r="A124" s="82">
        <v>44631.0</v>
      </c>
      <c r="B124" s="82">
        <v>44631.0</v>
      </c>
      <c r="C124" s="66">
        <v>2004.0</v>
      </c>
      <c r="D124" s="66" t="s">
        <v>198</v>
      </c>
      <c r="E124" s="66">
        <v>1.0</v>
      </c>
      <c r="F124" s="66" t="s">
        <v>204</v>
      </c>
      <c r="G124" s="66">
        <f t="shared" si="1"/>
        <v>0</v>
      </c>
      <c r="H124" s="66">
        <v>25.8117</v>
      </c>
      <c r="I124" s="66">
        <v>26.4</v>
      </c>
      <c r="J124" s="66">
        <v>25.8941</v>
      </c>
      <c r="K124" s="81">
        <f t="shared" si="2"/>
        <v>0.5883</v>
      </c>
      <c r="L124" s="81">
        <f t="shared" si="3"/>
        <v>0.0824</v>
      </c>
    </row>
    <row r="125">
      <c r="A125" s="82">
        <v>44631.0</v>
      </c>
      <c r="B125" s="82">
        <v>44631.0</v>
      </c>
      <c r="C125" s="66">
        <v>2004.0</v>
      </c>
      <c r="D125" s="66" t="s">
        <v>198</v>
      </c>
      <c r="E125" s="66">
        <v>0.0</v>
      </c>
      <c r="F125" s="66" t="s">
        <v>204</v>
      </c>
      <c r="G125" s="66">
        <f t="shared" si="1"/>
        <v>0</v>
      </c>
      <c r="H125" s="66">
        <v>15.4471</v>
      </c>
      <c r="I125" s="66">
        <v>16.6254</v>
      </c>
      <c r="J125" s="66">
        <v>15.9725</v>
      </c>
      <c r="K125" s="81">
        <f t="shared" si="2"/>
        <v>1.1783</v>
      </c>
      <c r="L125" s="81">
        <f t="shared" si="3"/>
        <v>0.5254</v>
      </c>
    </row>
    <row r="126">
      <c r="A126" s="82">
        <v>44631.0</v>
      </c>
      <c r="B126" s="82">
        <v>44631.0</v>
      </c>
      <c r="C126" s="66">
        <v>2021.0</v>
      </c>
      <c r="D126" s="66" t="s">
        <v>198</v>
      </c>
      <c r="E126" s="66">
        <v>0.0</v>
      </c>
      <c r="F126" s="66" t="s">
        <v>205</v>
      </c>
      <c r="G126" s="66">
        <f t="shared" si="1"/>
        <v>0</v>
      </c>
      <c r="H126" s="66">
        <v>26.2394</v>
      </c>
      <c r="I126" s="66">
        <v>38.0498</v>
      </c>
      <c r="J126" s="66">
        <v>31.5554</v>
      </c>
      <c r="K126" s="81">
        <f t="shared" si="2"/>
        <v>11.8104</v>
      </c>
      <c r="L126" s="81">
        <f t="shared" si="3"/>
        <v>5.316</v>
      </c>
    </row>
    <row r="127">
      <c r="A127" s="82">
        <v>44631.0</v>
      </c>
      <c r="B127" s="82">
        <v>44631.0</v>
      </c>
      <c r="C127" s="66">
        <v>2004.0</v>
      </c>
      <c r="D127" s="66" t="s">
        <v>198</v>
      </c>
      <c r="E127" s="66">
        <v>0.0</v>
      </c>
      <c r="F127" s="66" t="s">
        <v>204</v>
      </c>
      <c r="G127" s="66">
        <f t="shared" si="1"/>
        <v>0</v>
      </c>
      <c r="H127" s="66">
        <v>26.4105</v>
      </c>
      <c r="I127" s="66">
        <v>27.699</v>
      </c>
      <c r="J127" s="66">
        <v>26.8088</v>
      </c>
      <c r="K127" s="81">
        <f t="shared" si="2"/>
        <v>1.2885</v>
      </c>
      <c r="L127" s="81">
        <f t="shared" si="3"/>
        <v>0.3983</v>
      </c>
    </row>
    <row r="128">
      <c r="A128" s="82">
        <v>44631.0</v>
      </c>
      <c r="B128" s="82">
        <v>44631.0</v>
      </c>
      <c r="C128" s="66">
        <v>2354.0</v>
      </c>
      <c r="D128" s="66" t="s">
        <v>203</v>
      </c>
      <c r="E128" s="66">
        <v>1.0</v>
      </c>
      <c r="F128" s="66" t="s">
        <v>205</v>
      </c>
      <c r="G128" s="66">
        <f t="shared" si="1"/>
        <v>0</v>
      </c>
      <c r="H128" s="66">
        <v>25.67</v>
      </c>
      <c r="I128" s="66">
        <v>31.4341</v>
      </c>
      <c r="J128" s="66">
        <v>28.8168</v>
      </c>
      <c r="K128" s="81">
        <f t="shared" si="2"/>
        <v>5.7641</v>
      </c>
      <c r="L128" s="81">
        <f t="shared" si="3"/>
        <v>3.1468</v>
      </c>
    </row>
    <row r="129">
      <c r="A129" s="82">
        <v>44631.0</v>
      </c>
      <c r="B129" s="82">
        <v>44631.0</v>
      </c>
      <c r="C129" s="66">
        <v>2027.0</v>
      </c>
      <c r="D129" s="66" t="s">
        <v>198</v>
      </c>
      <c r="E129" s="66">
        <v>0.0</v>
      </c>
      <c r="F129" s="66" t="s">
        <v>205</v>
      </c>
      <c r="G129" s="66">
        <f t="shared" si="1"/>
        <v>0</v>
      </c>
      <c r="H129" s="66">
        <v>26.1045</v>
      </c>
      <c r="I129" s="66">
        <v>37.1388</v>
      </c>
      <c r="J129" s="66">
        <v>31.8112</v>
      </c>
      <c r="K129" s="81">
        <f t="shared" si="2"/>
        <v>11.0343</v>
      </c>
      <c r="L129" s="81">
        <f t="shared" si="3"/>
        <v>5.7067</v>
      </c>
    </row>
    <row r="130">
      <c r="A130" s="82">
        <v>44631.0</v>
      </c>
      <c r="B130" s="82">
        <v>44631.0</v>
      </c>
      <c r="C130" s="66">
        <v>2378.0</v>
      </c>
      <c r="D130" s="66" t="s">
        <v>203</v>
      </c>
      <c r="E130" s="66">
        <v>0.0</v>
      </c>
      <c r="F130" s="66" t="s">
        <v>205</v>
      </c>
      <c r="G130" s="66">
        <f t="shared" si="1"/>
        <v>0</v>
      </c>
      <c r="H130" s="66">
        <v>26.8177</v>
      </c>
      <c r="I130" s="66">
        <v>32.4149</v>
      </c>
      <c r="J130" s="66">
        <v>29.0657</v>
      </c>
      <c r="K130" s="81">
        <f t="shared" si="2"/>
        <v>5.5972</v>
      </c>
      <c r="L130" s="81">
        <f t="shared" si="3"/>
        <v>2.248</v>
      </c>
    </row>
    <row r="131">
      <c r="A131" s="82">
        <v>44631.0</v>
      </c>
      <c r="B131" s="82">
        <v>44631.0</v>
      </c>
      <c r="C131" s="66">
        <v>2007.0</v>
      </c>
      <c r="D131" s="66" t="s">
        <v>198</v>
      </c>
      <c r="E131" s="66">
        <v>0.0</v>
      </c>
      <c r="F131" s="66" t="s">
        <v>204</v>
      </c>
      <c r="G131" s="66">
        <f t="shared" si="1"/>
        <v>0</v>
      </c>
      <c r="H131" s="66">
        <v>15.1858</v>
      </c>
      <c r="I131" s="66">
        <v>16.1964</v>
      </c>
      <c r="J131" s="66">
        <v>15.5312</v>
      </c>
      <c r="K131" s="81">
        <f t="shared" si="2"/>
        <v>1.0106</v>
      </c>
      <c r="L131" s="81">
        <f t="shared" si="3"/>
        <v>0.3454</v>
      </c>
    </row>
    <row r="132">
      <c r="A132" s="82">
        <v>44631.0</v>
      </c>
      <c r="B132" s="82">
        <v>44631.0</v>
      </c>
      <c r="C132" s="66">
        <v>2006.0</v>
      </c>
      <c r="D132" s="66" t="s">
        <v>203</v>
      </c>
      <c r="E132" s="66">
        <v>0.0</v>
      </c>
      <c r="F132" s="66" t="s">
        <v>204</v>
      </c>
      <c r="G132" s="66">
        <f t="shared" si="1"/>
        <v>0</v>
      </c>
      <c r="H132" s="66">
        <v>26.8527</v>
      </c>
      <c r="I132" s="66">
        <v>33.307</v>
      </c>
      <c r="J132" s="66">
        <v>28.8581</v>
      </c>
      <c r="K132" s="81">
        <f t="shared" si="2"/>
        <v>6.4543</v>
      </c>
      <c r="L132" s="81">
        <f t="shared" si="3"/>
        <v>2.0054</v>
      </c>
    </row>
    <row r="133">
      <c r="A133" s="82">
        <v>44631.0</v>
      </c>
      <c r="B133" s="82">
        <v>44631.0</v>
      </c>
      <c r="C133" s="66">
        <v>2024.0</v>
      </c>
      <c r="D133" s="66" t="s">
        <v>198</v>
      </c>
      <c r="E133" s="66">
        <v>0.0</v>
      </c>
      <c r="F133" s="66" t="s">
        <v>204</v>
      </c>
      <c r="G133" s="66">
        <f t="shared" si="1"/>
        <v>0</v>
      </c>
      <c r="H133" s="66">
        <v>15.8585</v>
      </c>
      <c r="I133" s="66">
        <v>16.7922</v>
      </c>
      <c r="J133" s="66">
        <v>16.1633</v>
      </c>
      <c r="K133" s="81">
        <f t="shared" si="2"/>
        <v>0.9337</v>
      </c>
      <c r="L133" s="81">
        <f t="shared" si="3"/>
        <v>0.3048</v>
      </c>
    </row>
    <row r="134">
      <c r="A134" s="82">
        <v>44631.0</v>
      </c>
      <c r="B134" s="82">
        <v>44631.0</v>
      </c>
      <c r="C134" s="66">
        <v>2093.0</v>
      </c>
      <c r="D134" s="66" t="s">
        <v>198</v>
      </c>
      <c r="E134" s="66">
        <v>1.0</v>
      </c>
      <c r="F134" s="66" t="s">
        <v>205</v>
      </c>
      <c r="G134" s="66">
        <f t="shared" si="1"/>
        <v>0</v>
      </c>
      <c r="H134" s="66">
        <v>26.1642</v>
      </c>
      <c r="I134" s="66">
        <v>32.5943</v>
      </c>
      <c r="J134" s="66">
        <v>30.2046</v>
      </c>
      <c r="K134" s="81">
        <f t="shared" si="2"/>
        <v>6.4301</v>
      </c>
      <c r="L134" s="81">
        <f t="shared" si="3"/>
        <v>4.0404</v>
      </c>
    </row>
    <row r="135">
      <c r="A135" s="82">
        <v>44635.0</v>
      </c>
      <c r="B135" s="82">
        <v>44635.0</v>
      </c>
      <c r="C135" s="66">
        <v>2384.0</v>
      </c>
      <c r="D135" s="66" t="s">
        <v>203</v>
      </c>
      <c r="E135" s="66">
        <v>1.0</v>
      </c>
      <c r="F135" s="66" t="s">
        <v>204</v>
      </c>
      <c r="G135" s="66">
        <f t="shared" si="1"/>
        <v>0</v>
      </c>
      <c r="H135" s="66">
        <v>26.5754</v>
      </c>
      <c r="I135" s="66">
        <v>27.3214</v>
      </c>
      <c r="J135" s="66">
        <v>26.9505</v>
      </c>
      <c r="K135" s="81">
        <f t="shared" si="2"/>
        <v>0.746</v>
      </c>
      <c r="L135" s="81">
        <f t="shared" si="3"/>
        <v>0.3751</v>
      </c>
    </row>
    <row r="136">
      <c r="A136" s="82">
        <v>44635.0</v>
      </c>
      <c r="B136" s="82">
        <v>44635.0</v>
      </c>
      <c r="C136" s="66">
        <v>2352.0</v>
      </c>
      <c r="D136" s="66" t="s">
        <v>203</v>
      </c>
      <c r="E136" s="66">
        <v>0.0</v>
      </c>
      <c r="F136" s="66" t="s">
        <v>204</v>
      </c>
      <c r="G136" s="66">
        <f t="shared" si="1"/>
        <v>0</v>
      </c>
      <c r="H136" s="66">
        <v>26.1349</v>
      </c>
      <c r="I136" s="66">
        <v>27.3698</v>
      </c>
      <c r="J136" s="66">
        <v>26.6372</v>
      </c>
      <c r="K136" s="81">
        <f t="shared" si="2"/>
        <v>1.2349</v>
      </c>
      <c r="L136" s="81">
        <f t="shared" si="3"/>
        <v>0.5023</v>
      </c>
    </row>
    <row r="137">
      <c r="A137" s="82">
        <v>44635.0</v>
      </c>
      <c r="B137" s="82">
        <v>44635.0</v>
      </c>
      <c r="C137" s="66">
        <v>2092.0</v>
      </c>
      <c r="D137" s="66" t="s">
        <v>203</v>
      </c>
      <c r="E137" s="66">
        <v>1.0</v>
      </c>
      <c r="F137" s="66" t="s">
        <v>204</v>
      </c>
      <c r="G137" s="66">
        <v>2.0</v>
      </c>
      <c r="H137" s="66">
        <v>26.1535</v>
      </c>
      <c r="I137" s="66">
        <v>27.6492</v>
      </c>
      <c r="J137" s="66">
        <v>26.9958</v>
      </c>
      <c r="K137" s="81">
        <f t="shared" si="2"/>
        <v>1.4957</v>
      </c>
      <c r="L137" s="81">
        <f t="shared" si="3"/>
        <v>0.8423</v>
      </c>
    </row>
    <row r="138">
      <c r="A138" s="82">
        <v>44635.0</v>
      </c>
      <c r="B138" s="82">
        <v>44635.0</v>
      </c>
      <c r="C138" s="66">
        <v>2023.0</v>
      </c>
      <c r="D138" s="66" t="s">
        <v>203</v>
      </c>
      <c r="E138" s="66">
        <v>0.0</v>
      </c>
      <c r="F138" s="66" t="s">
        <v>204</v>
      </c>
      <c r="G138" s="66">
        <f t="shared" ref="G138:G140" si="4">if(E138="old",1,0)</f>
        <v>0</v>
      </c>
      <c r="H138" s="66">
        <v>26.3751</v>
      </c>
      <c r="I138" s="66">
        <v>27.3233</v>
      </c>
      <c r="J138" s="66">
        <v>26.598</v>
      </c>
      <c r="K138" s="81">
        <f t="shared" si="2"/>
        <v>0.9482</v>
      </c>
      <c r="L138" s="81">
        <f t="shared" si="3"/>
        <v>0.2229</v>
      </c>
    </row>
    <row r="139">
      <c r="A139" s="82">
        <v>44635.0</v>
      </c>
      <c r="B139" s="82">
        <v>44635.0</v>
      </c>
      <c r="C139" s="66">
        <v>2022.0</v>
      </c>
      <c r="D139" s="66" t="s">
        <v>203</v>
      </c>
      <c r="E139" s="66">
        <v>1.0</v>
      </c>
      <c r="F139" s="66" t="s">
        <v>204</v>
      </c>
      <c r="G139" s="66">
        <f t="shared" si="4"/>
        <v>0</v>
      </c>
      <c r="H139" s="66">
        <v>25.5854</v>
      </c>
      <c r="I139" s="66">
        <v>27.1343</v>
      </c>
      <c r="J139" s="66">
        <v>26.1732</v>
      </c>
      <c r="K139" s="81">
        <f t="shared" si="2"/>
        <v>1.5489</v>
      </c>
      <c r="L139" s="81">
        <f t="shared" si="3"/>
        <v>0.5878</v>
      </c>
    </row>
    <row r="140">
      <c r="A140" s="82">
        <v>44635.0</v>
      </c>
      <c r="B140" s="82">
        <v>44635.0</v>
      </c>
      <c r="C140" s="66">
        <v>2024.0</v>
      </c>
      <c r="D140" s="66" t="s">
        <v>203</v>
      </c>
      <c r="E140" s="66">
        <v>0.0</v>
      </c>
      <c r="F140" s="66" t="s">
        <v>204</v>
      </c>
      <c r="G140" s="66">
        <f t="shared" si="4"/>
        <v>0</v>
      </c>
      <c r="H140" s="66">
        <v>25.5022</v>
      </c>
      <c r="I140" s="66">
        <v>26.7751</v>
      </c>
      <c r="J140" s="66">
        <v>26.0</v>
      </c>
      <c r="K140" s="81">
        <f t="shared" si="2"/>
        <v>1.2729</v>
      </c>
      <c r="L140" s="81">
        <f t="shared" si="3"/>
        <v>0.4978</v>
      </c>
    </row>
    <row r="141">
      <c r="A141" s="82">
        <v>44635.0</v>
      </c>
      <c r="B141" s="82">
        <v>44635.0</v>
      </c>
      <c r="C141" s="66">
        <v>2091.0</v>
      </c>
      <c r="D141" s="66" t="s">
        <v>203</v>
      </c>
      <c r="E141" s="66">
        <v>1.0</v>
      </c>
      <c r="F141" s="66" t="s">
        <v>204</v>
      </c>
      <c r="G141" s="66">
        <v>2.0</v>
      </c>
      <c r="H141" s="66">
        <v>26.5938</v>
      </c>
      <c r="I141" s="66">
        <v>27.2196</v>
      </c>
      <c r="J141" s="66">
        <v>27.2061</v>
      </c>
      <c r="K141" s="81">
        <f t="shared" si="2"/>
        <v>0.6258</v>
      </c>
      <c r="L141" s="81">
        <f t="shared" si="3"/>
        <v>0.6123</v>
      </c>
    </row>
    <row r="142">
      <c r="A142" s="82">
        <v>44635.0</v>
      </c>
      <c r="B142" s="82">
        <v>44635.0</v>
      </c>
      <c r="C142" s="66">
        <v>2383.0</v>
      </c>
      <c r="D142" s="66" t="s">
        <v>203</v>
      </c>
      <c r="E142" s="66">
        <v>1.0</v>
      </c>
      <c r="F142" s="66" t="s">
        <v>204</v>
      </c>
      <c r="G142" s="66">
        <f t="shared" ref="G142:G152" si="5">if(E142="old",1,0)</f>
        <v>0</v>
      </c>
      <c r="H142" s="66">
        <v>26.5598</v>
      </c>
      <c r="I142" s="66">
        <v>27.0238</v>
      </c>
      <c r="J142" s="66">
        <v>27.0524</v>
      </c>
      <c r="K142" s="81">
        <f t="shared" si="2"/>
        <v>0.464</v>
      </c>
      <c r="L142" s="81">
        <f t="shared" si="3"/>
        <v>0.4926</v>
      </c>
    </row>
    <row r="143">
      <c r="A143" s="82">
        <v>44635.0</v>
      </c>
      <c r="B143" s="82">
        <v>44635.0</v>
      </c>
      <c r="C143" s="66">
        <v>2025.0</v>
      </c>
      <c r="D143" s="66" t="s">
        <v>203</v>
      </c>
      <c r="E143" s="66">
        <v>1.0</v>
      </c>
      <c r="F143" s="66" t="s">
        <v>204</v>
      </c>
      <c r="G143" s="66">
        <f t="shared" si="5"/>
        <v>0</v>
      </c>
      <c r="H143" s="66">
        <v>25.9165</v>
      </c>
      <c r="I143" s="66">
        <v>27.5443</v>
      </c>
      <c r="J143" s="66">
        <v>26.7192</v>
      </c>
      <c r="K143" s="81">
        <f t="shared" si="2"/>
        <v>1.6278</v>
      </c>
      <c r="L143" s="81">
        <f t="shared" si="3"/>
        <v>0.8027</v>
      </c>
    </row>
    <row r="144">
      <c r="A144" s="82">
        <v>44635.0</v>
      </c>
      <c r="B144" s="82">
        <v>44635.0</v>
      </c>
      <c r="C144" s="66">
        <v>2020.0</v>
      </c>
      <c r="D144" s="66" t="s">
        <v>203</v>
      </c>
      <c r="E144" s="66">
        <v>1.0</v>
      </c>
      <c r="F144" s="66" t="s">
        <v>204</v>
      </c>
      <c r="G144" s="66">
        <f t="shared" si="5"/>
        <v>0</v>
      </c>
      <c r="H144" s="66">
        <v>25.2817</v>
      </c>
      <c r="I144" s="66">
        <v>27.2827</v>
      </c>
      <c r="J144" s="66">
        <v>25.9888</v>
      </c>
      <c r="K144" s="81">
        <f t="shared" si="2"/>
        <v>2.001</v>
      </c>
      <c r="L144" s="81">
        <f t="shared" si="3"/>
        <v>0.7071</v>
      </c>
    </row>
    <row r="145">
      <c r="A145" s="82">
        <v>44635.0</v>
      </c>
      <c r="B145" s="82">
        <v>44635.0</v>
      </c>
      <c r="C145" s="66">
        <v>2092.0</v>
      </c>
      <c r="D145" s="66" t="s">
        <v>203</v>
      </c>
      <c r="E145" s="66">
        <v>0.0</v>
      </c>
      <c r="F145" s="66" t="s">
        <v>205</v>
      </c>
      <c r="G145" s="66">
        <f t="shared" si="5"/>
        <v>0</v>
      </c>
      <c r="H145" s="66">
        <v>26.2952</v>
      </c>
      <c r="I145" s="66">
        <v>39.5911</v>
      </c>
      <c r="J145" s="66">
        <v>29.3156</v>
      </c>
      <c r="K145" s="81">
        <f t="shared" si="2"/>
        <v>13.2959</v>
      </c>
      <c r="L145" s="81">
        <f t="shared" si="3"/>
        <v>3.0204</v>
      </c>
    </row>
    <row r="146">
      <c r="A146" s="82">
        <v>44635.0</v>
      </c>
      <c r="B146" s="82">
        <v>44635.0</v>
      </c>
      <c r="C146" s="66">
        <v>2382.0</v>
      </c>
      <c r="D146" s="66" t="s">
        <v>203</v>
      </c>
      <c r="E146" s="66">
        <v>0.0</v>
      </c>
      <c r="F146" s="66" t="s">
        <v>204</v>
      </c>
      <c r="G146" s="66">
        <f t="shared" si="5"/>
        <v>0</v>
      </c>
      <c r="H146" s="66">
        <v>25.7013</v>
      </c>
      <c r="I146" s="66">
        <v>26.1695</v>
      </c>
      <c r="J146" s="66">
        <v>25.8955</v>
      </c>
      <c r="K146" s="81">
        <f t="shared" si="2"/>
        <v>0.4682</v>
      </c>
      <c r="L146" s="81">
        <f t="shared" si="3"/>
        <v>0.1942</v>
      </c>
    </row>
    <row r="147">
      <c r="A147" s="82">
        <v>44635.0</v>
      </c>
      <c r="B147" s="82">
        <v>44635.0</v>
      </c>
      <c r="C147" s="66">
        <v>2021.0</v>
      </c>
      <c r="D147" s="66" t="s">
        <v>203</v>
      </c>
      <c r="E147" s="66">
        <v>0.0</v>
      </c>
      <c r="F147" s="66" t="s">
        <v>204</v>
      </c>
      <c r="G147" s="66">
        <f t="shared" si="5"/>
        <v>0</v>
      </c>
      <c r="H147" s="66">
        <v>26.1776</v>
      </c>
      <c r="I147" s="66">
        <v>26.6586</v>
      </c>
      <c r="J147" s="66">
        <v>26.3651</v>
      </c>
      <c r="K147" s="81">
        <f t="shared" si="2"/>
        <v>0.481</v>
      </c>
      <c r="L147" s="81">
        <f t="shared" si="3"/>
        <v>0.1875</v>
      </c>
    </row>
    <row r="148">
      <c r="A148" s="82">
        <v>44635.0</v>
      </c>
      <c r="B148" s="82">
        <v>44635.0</v>
      </c>
      <c r="C148" s="66">
        <v>2021.0</v>
      </c>
      <c r="D148" s="66" t="s">
        <v>203</v>
      </c>
      <c r="E148" s="66">
        <v>0.0</v>
      </c>
      <c r="F148" s="66" t="s">
        <v>205</v>
      </c>
      <c r="G148" s="66">
        <f t="shared" si="5"/>
        <v>0</v>
      </c>
      <c r="H148" s="66">
        <v>26.3101</v>
      </c>
      <c r="I148" s="66">
        <v>32.4625</v>
      </c>
      <c r="J148" s="66">
        <v>28.7163</v>
      </c>
      <c r="K148" s="81">
        <f t="shared" si="2"/>
        <v>6.1524</v>
      </c>
      <c r="L148" s="81">
        <f t="shared" si="3"/>
        <v>2.4062</v>
      </c>
    </row>
    <row r="149">
      <c r="A149" s="82">
        <v>44635.0</v>
      </c>
      <c r="B149" s="82">
        <v>44635.0</v>
      </c>
      <c r="C149" s="66">
        <v>2027.0</v>
      </c>
      <c r="D149" s="66" t="s">
        <v>203</v>
      </c>
      <c r="E149" s="66">
        <v>1.0</v>
      </c>
      <c r="F149" s="66" t="s">
        <v>204</v>
      </c>
      <c r="G149" s="66">
        <f t="shared" si="5"/>
        <v>0</v>
      </c>
      <c r="H149" s="66">
        <v>25.7696</v>
      </c>
      <c r="I149" s="66">
        <v>26.3981</v>
      </c>
      <c r="J149" s="66">
        <v>26.249</v>
      </c>
      <c r="K149" s="81">
        <f t="shared" si="2"/>
        <v>0.6285</v>
      </c>
      <c r="L149" s="81">
        <f t="shared" si="3"/>
        <v>0.4794</v>
      </c>
    </row>
    <row r="150">
      <c r="A150" s="82">
        <v>44635.0</v>
      </c>
      <c r="B150" s="82">
        <v>44635.0</v>
      </c>
      <c r="C150" s="66">
        <v>2020.0</v>
      </c>
      <c r="D150" s="66" t="s">
        <v>203</v>
      </c>
      <c r="E150" s="66">
        <v>0.0</v>
      </c>
      <c r="F150" s="66" t="s">
        <v>204</v>
      </c>
      <c r="G150" s="66">
        <f t="shared" si="5"/>
        <v>0</v>
      </c>
      <c r="H150" s="66">
        <v>25.3393</v>
      </c>
      <c r="I150" s="66">
        <v>25.7518</v>
      </c>
      <c r="J150" s="66">
        <v>25.5043</v>
      </c>
      <c r="K150" s="81">
        <f t="shared" si="2"/>
        <v>0.4125</v>
      </c>
      <c r="L150" s="81">
        <f t="shared" si="3"/>
        <v>0.165</v>
      </c>
    </row>
    <row r="151">
      <c r="A151" s="82">
        <v>44635.0</v>
      </c>
      <c r="B151" s="82">
        <v>44635.0</v>
      </c>
      <c r="C151" s="66">
        <v>2383.0</v>
      </c>
      <c r="D151" s="66" t="s">
        <v>203</v>
      </c>
      <c r="E151" s="66">
        <v>0.0</v>
      </c>
      <c r="F151" s="66" t="s">
        <v>205</v>
      </c>
      <c r="G151" s="66">
        <f t="shared" si="5"/>
        <v>0</v>
      </c>
      <c r="H151" s="66">
        <v>25.7977</v>
      </c>
      <c r="I151" s="66">
        <v>31.5887</v>
      </c>
      <c r="J151" s="66">
        <v>28.133</v>
      </c>
      <c r="K151" s="81">
        <f t="shared" si="2"/>
        <v>5.791</v>
      </c>
      <c r="L151" s="81">
        <f t="shared" si="3"/>
        <v>2.3353</v>
      </c>
    </row>
    <row r="152">
      <c r="A152" s="82">
        <v>44635.0</v>
      </c>
      <c r="B152" s="82">
        <v>44635.0</v>
      </c>
      <c r="C152" s="66">
        <v>2024.0</v>
      </c>
      <c r="D152" s="66" t="s">
        <v>203</v>
      </c>
      <c r="E152" s="66">
        <v>1.0</v>
      </c>
      <c r="F152" s="66" t="s">
        <v>204</v>
      </c>
      <c r="G152" s="66">
        <f t="shared" si="5"/>
        <v>0</v>
      </c>
      <c r="H152" s="66">
        <v>25.7369</v>
      </c>
      <c r="I152" s="66">
        <v>26.3358</v>
      </c>
      <c r="J152" s="66">
        <v>26.0424</v>
      </c>
      <c r="K152" s="81">
        <f t="shared" si="2"/>
        <v>0.5989</v>
      </c>
      <c r="L152" s="81">
        <f t="shared" si="3"/>
        <v>0.3055</v>
      </c>
    </row>
    <row r="153">
      <c r="A153" s="82">
        <v>44635.0</v>
      </c>
      <c r="B153" s="82">
        <v>44635.0</v>
      </c>
      <c r="C153" s="66">
        <v>2089.0</v>
      </c>
      <c r="D153" s="66" t="s">
        <v>203</v>
      </c>
      <c r="E153" s="66">
        <v>1.0</v>
      </c>
      <c r="F153" s="66" t="s">
        <v>204</v>
      </c>
      <c r="G153" s="66">
        <v>2.0</v>
      </c>
      <c r="H153" s="66">
        <v>25.9319</v>
      </c>
      <c r="I153" s="66">
        <v>26.9701</v>
      </c>
      <c r="J153" s="66">
        <v>26.5299</v>
      </c>
      <c r="K153" s="81">
        <f t="shared" si="2"/>
        <v>1.0382</v>
      </c>
      <c r="L153" s="81">
        <f t="shared" si="3"/>
        <v>0.598</v>
      </c>
    </row>
    <row r="154">
      <c r="A154" s="82">
        <v>44635.0</v>
      </c>
      <c r="B154" s="82">
        <v>44635.0</v>
      </c>
      <c r="C154" s="66">
        <v>2384.0</v>
      </c>
      <c r="D154" s="66" t="s">
        <v>203</v>
      </c>
      <c r="E154" s="66">
        <v>0.0</v>
      </c>
      <c r="F154" s="66" t="s">
        <v>204</v>
      </c>
      <c r="G154" s="66">
        <f t="shared" ref="G154:G162" si="6">if(E154="old",1,0)</f>
        <v>0</v>
      </c>
      <c r="H154" s="66">
        <v>26.164</v>
      </c>
      <c r="I154" s="66">
        <v>26.8352</v>
      </c>
      <c r="J154" s="66">
        <v>26.4191</v>
      </c>
      <c r="K154" s="81">
        <f t="shared" si="2"/>
        <v>0.6712</v>
      </c>
      <c r="L154" s="81">
        <f t="shared" si="3"/>
        <v>0.2551</v>
      </c>
    </row>
    <row r="155">
      <c r="A155" s="82">
        <v>44635.0</v>
      </c>
      <c r="B155" s="82">
        <v>44635.0</v>
      </c>
      <c r="C155" s="66">
        <v>2022.0</v>
      </c>
      <c r="D155" s="66" t="s">
        <v>203</v>
      </c>
      <c r="E155" s="66">
        <v>1.0</v>
      </c>
      <c r="F155" s="66" t="s">
        <v>205</v>
      </c>
      <c r="G155" s="66">
        <f t="shared" si="6"/>
        <v>0</v>
      </c>
      <c r="H155" s="66">
        <v>25.3551</v>
      </c>
      <c r="I155" s="66">
        <v>31.1877</v>
      </c>
      <c r="J155" s="66">
        <v>28.5515</v>
      </c>
      <c r="K155" s="81">
        <f t="shared" si="2"/>
        <v>5.8326</v>
      </c>
      <c r="L155" s="81">
        <f t="shared" si="3"/>
        <v>3.1964</v>
      </c>
    </row>
    <row r="156">
      <c r="A156" s="82">
        <v>44635.0</v>
      </c>
      <c r="B156" s="82">
        <v>44635.0</v>
      </c>
      <c r="C156" s="66">
        <v>2093.0</v>
      </c>
      <c r="D156" s="66" t="s">
        <v>203</v>
      </c>
      <c r="E156" s="66">
        <v>1.0</v>
      </c>
      <c r="F156" s="66" t="s">
        <v>205</v>
      </c>
      <c r="G156" s="66">
        <f t="shared" si="6"/>
        <v>0</v>
      </c>
      <c r="H156" s="66">
        <v>26.1288</v>
      </c>
      <c r="I156" s="66">
        <v>32.9861</v>
      </c>
      <c r="J156" s="66">
        <v>29.9852</v>
      </c>
      <c r="K156" s="81">
        <f t="shared" si="2"/>
        <v>6.8573</v>
      </c>
      <c r="L156" s="81">
        <f t="shared" si="3"/>
        <v>3.8564</v>
      </c>
    </row>
    <row r="157">
      <c r="A157" s="82">
        <v>44635.0</v>
      </c>
      <c r="B157" s="82">
        <v>44635.0</v>
      </c>
      <c r="C157" s="66">
        <v>2092.0</v>
      </c>
      <c r="D157" s="66" t="s">
        <v>203</v>
      </c>
      <c r="E157" s="66">
        <v>0.0</v>
      </c>
      <c r="F157" s="66" t="s">
        <v>204</v>
      </c>
      <c r="G157" s="66">
        <f t="shared" si="6"/>
        <v>0</v>
      </c>
      <c r="H157" s="66">
        <v>26.6231</v>
      </c>
      <c r="I157" s="66">
        <v>26.7847</v>
      </c>
      <c r="J157" s="66">
        <v>26.9409</v>
      </c>
      <c r="K157" s="81">
        <f t="shared" si="2"/>
        <v>0.1616</v>
      </c>
      <c r="L157" s="81">
        <f t="shared" si="3"/>
        <v>0.3178</v>
      </c>
    </row>
    <row r="158">
      <c r="A158" s="82">
        <v>44635.0</v>
      </c>
      <c r="B158" s="82">
        <v>44635.0</v>
      </c>
      <c r="C158" s="66">
        <v>2091.0</v>
      </c>
      <c r="D158" s="66" t="s">
        <v>203</v>
      </c>
      <c r="E158" s="66">
        <v>0.0</v>
      </c>
      <c r="F158" s="66" t="s">
        <v>204</v>
      </c>
      <c r="G158" s="66">
        <f t="shared" si="6"/>
        <v>0</v>
      </c>
      <c r="H158" s="66">
        <v>26.5101</v>
      </c>
      <c r="I158" s="66">
        <v>27.2515</v>
      </c>
      <c r="J158" s="66">
        <v>26.9691</v>
      </c>
      <c r="K158" s="81">
        <f t="shared" si="2"/>
        <v>0.7414</v>
      </c>
      <c r="L158" s="81">
        <f t="shared" si="3"/>
        <v>0.459</v>
      </c>
    </row>
    <row r="159">
      <c r="A159" s="82">
        <v>44635.0</v>
      </c>
      <c r="B159" s="82">
        <v>44635.0</v>
      </c>
      <c r="C159" s="66">
        <v>2023.0</v>
      </c>
      <c r="D159" s="66" t="s">
        <v>203</v>
      </c>
      <c r="E159" s="66">
        <v>0.0</v>
      </c>
      <c r="F159" s="66" t="s">
        <v>205</v>
      </c>
      <c r="G159" s="66">
        <f t="shared" si="6"/>
        <v>0</v>
      </c>
      <c r="H159" s="66">
        <v>27.413</v>
      </c>
      <c r="I159" s="66">
        <v>35.0431</v>
      </c>
      <c r="J159" s="66">
        <v>30.7798</v>
      </c>
      <c r="K159" s="81">
        <f t="shared" si="2"/>
        <v>7.6301</v>
      </c>
      <c r="L159" s="81">
        <f t="shared" si="3"/>
        <v>3.3668</v>
      </c>
    </row>
    <row r="160">
      <c r="A160" s="82">
        <v>44635.0</v>
      </c>
      <c r="B160" s="82">
        <v>44635.0</v>
      </c>
      <c r="C160" s="66">
        <v>2352.0</v>
      </c>
      <c r="D160" s="66" t="s">
        <v>203</v>
      </c>
      <c r="E160" s="66">
        <v>1.0</v>
      </c>
      <c r="F160" s="66" t="s">
        <v>204</v>
      </c>
      <c r="G160" s="66">
        <f t="shared" si="6"/>
        <v>0</v>
      </c>
      <c r="H160" s="66">
        <v>25.9218</v>
      </c>
      <c r="I160" s="66">
        <v>26.9229</v>
      </c>
      <c r="J160" s="66">
        <v>26.1501</v>
      </c>
      <c r="K160" s="81">
        <f t="shared" si="2"/>
        <v>1.0011</v>
      </c>
      <c r="L160" s="81">
        <f t="shared" si="3"/>
        <v>0.2283</v>
      </c>
    </row>
    <row r="161">
      <c r="A161" s="82">
        <v>44635.0</v>
      </c>
      <c r="B161" s="82">
        <v>44635.0</v>
      </c>
      <c r="C161" s="66">
        <v>2091.0</v>
      </c>
      <c r="D161" s="66" t="s">
        <v>203</v>
      </c>
      <c r="E161" s="66">
        <v>0.0</v>
      </c>
      <c r="F161" s="66" t="s">
        <v>205</v>
      </c>
      <c r="G161" s="66">
        <f t="shared" si="6"/>
        <v>0</v>
      </c>
      <c r="H161" s="66">
        <v>26.4714</v>
      </c>
      <c r="I161" s="66">
        <v>32.1862</v>
      </c>
      <c r="J161" s="66">
        <v>29.6765</v>
      </c>
      <c r="K161" s="81">
        <f t="shared" si="2"/>
        <v>5.7148</v>
      </c>
      <c r="L161" s="81">
        <f t="shared" si="3"/>
        <v>3.2051</v>
      </c>
    </row>
    <row r="162">
      <c r="A162" s="82">
        <v>44635.0</v>
      </c>
      <c r="B162" s="82">
        <v>44635.0</v>
      </c>
      <c r="C162" s="66">
        <v>2027.0</v>
      </c>
      <c r="D162" s="66" t="s">
        <v>203</v>
      </c>
      <c r="E162" s="66">
        <v>0.0</v>
      </c>
      <c r="F162" s="66" t="s">
        <v>204</v>
      </c>
      <c r="G162" s="66">
        <f t="shared" si="6"/>
        <v>0</v>
      </c>
      <c r="H162" s="66">
        <v>25.9397</v>
      </c>
      <c r="I162" s="66">
        <v>26.5212</v>
      </c>
      <c r="J162" s="66">
        <v>26.1069</v>
      </c>
      <c r="K162" s="81">
        <f t="shared" si="2"/>
        <v>0.5815</v>
      </c>
      <c r="L162" s="81">
        <f t="shared" si="3"/>
        <v>0.1672</v>
      </c>
    </row>
    <row r="163">
      <c r="A163" s="82">
        <v>44635.0</v>
      </c>
      <c r="B163" s="82">
        <v>44635.0</v>
      </c>
      <c r="C163" s="66">
        <v>2091.0</v>
      </c>
      <c r="D163" s="66" t="s">
        <v>203</v>
      </c>
      <c r="E163" s="66">
        <v>1.0</v>
      </c>
      <c r="F163" s="66" t="s">
        <v>205</v>
      </c>
      <c r="G163" s="66">
        <v>2.0</v>
      </c>
      <c r="H163" s="66">
        <v>25.7902</v>
      </c>
      <c r="I163" s="66">
        <v>29.6036</v>
      </c>
      <c r="J163" s="66">
        <v>27.7467</v>
      </c>
      <c r="K163" s="81">
        <f t="shared" si="2"/>
        <v>3.8134</v>
      </c>
      <c r="L163" s="81">
        <f t="shared" si="3"/>
        <v>1.9565</v>
      </c>
    </row>
    <row r="164">
      <c r="A164" s="82">
        <v>44635.0</v>
      </c>
      <c r="B164" s="82">
        <v>44635.0</v>
      </c>
      <c r="C164" s="66">
        <v>2352.0</v>
      </c>
      <c r="D164" s="66" t="s">
        <v>203</v>
      </c>
      <c r="E164" s="66">
        <v>0.0</v>
      </c>
      <c r="F164" s="66" t="s">
        <v>205</v>
      </c>
      <c r="G164" s="66">
        <f t="shared" ref="G164:G169" si="7">if(E164="old",1,0)</f>
        <v>0</v>
      </c>
      <c r="H164" s="66">
        <v>26.3541</v>
      </c>
      <c r="I164" s="66">
        <v>35.9124</v>
      </c>
      <c r="J164" s="66">
        <v>30.0931</v>
      </c>
      <c r="K164" s="81">
        <f t="shared" si="2"/>
        <v>9.5583</v>
      </c>
      <c r="L164" s="81">
        <f t="shared" si="3"/>
        <v>3.739</v>
      </c>
    </row>
    <row r="165">
      <c r="A165" s="82">
        <v>44635.0</v>
      </c>
      <c r="B165" s="82">
        <v>44635.0</v>
      </c>
      <c r="C165" s="66">
        <v>2383.0</v>
      </c>
      <c r="D165" s="66" t="s">
        <v>203</v>
      </c>
      <c r="E165" s="66">
        <v>0.0</v>
      </c>
      <c r="F165" s="66" t="s">
        <v>204</v>
      </c>
      <c r="G165" s="66">
        <f t="shared" si="7"/>
        <v>0</v>
      </c>
      <c r="H165" s="66">
        <v>25.8591</v>
      </c>
      <c r="I165" s="66">
        <v>26.5711</v>
      </c>
      <c r="J165" s="66">
        <v>25.9969</v>
      </c>
      <c r="K165" s="81">
        <f t="shared" si="2"/>
        <v>0.712</v>
      </c>
      <c r="L165" s="81">
        <f t="shared" si="3"/>
        <v>0.1378</v>
      </c>
    </row>
    <row r="166">
      <c r="A166" s="82">
        <v>44635.0</v>
      </c>
      <c r="B166" s="82">
        <v>44635.0</v>
      </c>
      <c r="C166" s="66">
        <v>2089.0</v>
      </c>
      <c r="D166" s="66" t="s">
        <v>203</v>
      </c>
      <c r="E166" s="66">
        <v>0.0</v>
      </c>
      <c r="F166" s="66" t="s">
        <v>205</v>
      </c>
      <c r="G166" s="66">
        <f t="shared" si="7"/>
        <v>0</v>
      </c>
      <c r="H166" s="66">
        <v>26.2279</v>
      </c>
      <c r="I166" s="66">
        <v>33.0132</v>
      </c>
      <c r="J166" s="66">
        <v>29.9753</v>
      </c>
      <c r="K166" s="81">
        <f t="shared" si="2"/>
        <v>6.7853</v>
      </c>
      <c r="L166" s="81">
        <f t="shared" si="3"/>
        <v>3.7474</v>
      </c>
    </row>
    <row r="167">
      <c r="A167" s="82">
        <v>44635.0</v>
      </c>
      <c r="B167" s="82">
        <v>44635.0</v>
      </c>
      <c r="C167" s="66">
        <v>2025.0</v>
      </c>
      <c r="D167" s="66" t="s">
        <v>203</v>
      </c>
      <c r="E167" s="66">
        <v>0.0</v>
      </c>
      <c r="F167" s="66" t="s">
        <v>205</v>
      </c>
      <c r="G167" s="66">
        <f t="shared" si="7"/>
        <v>0</v>
      </c>
      <c r="H167" s="66">
        <v>25.8938</v>
      </c>
      <c r="I167" s="66">
        <v>36.029</v>
      </c>
      <c r="J167" s="66">
        <v>30.113</v>
      </c>
      <c r="K167" s="81">
        <f t="shared" si="2"/>
        <v>10.1352</v>
      </c>
      <c r="L167" s="81">
        <f t="shared" si="3"/>
        <v>4.2192</v>
      </c>
    </row>
    <row r="168">
      <c r="A168" s="82">
        <v>44635.0</v>
      </c>
      <c r="B168" s="82">
        <v>44635.0</v>
      </c>
      <c r="C168" s="66">
        <v>2384.0</v>
      </c>
      <c r="D168" s="66" t="s">
        <v>203</v>
      </c>
      <c r="E168" s="66">
        <v>0.0</v>
      </c>
      <c r="F168" s="66" t="s">
        <v>205</v>
      </c>
      <c r="G168" s="66">
        <f t="shared" si="7"/>
        <v>0</v>
      </c>
      <c r="H168" s="66">
        <v>26.3815</v>
      </c>
      <c r="I168" s="66">
        <v>34.6002</v>
      </c>
      <c r="J168" s="66">
        <v>29.4323</v>
      </c>
      <c r="K168" s="81">
        <f t="shared" si="2"/>
        <v>8.2187</v>
      </c>
      <c r="L168" s="81">
        <f t="shared" si="3"/>
        <v>3.0508</v>
      </c>
    </row>
    <row r="169">
      <c r="A169" s="82">
        <v>44635.0</v>
      </c>
      <c r="B169" s="82">
        <v>44635.0</v>
      </c>
      <c r="C169" s="66">
        <v>2020.0</v>
      </c>
      <c r="D169" s="66" t="s">
        <v>203</v>
      </c>
      <c r="E169" s="66">
        <v>0.0</v>
      </c>
      <c r="F169" s="66" t="s">
        <v>205</v>
      </c>
      <c r="G169" s="66">
        <f t="shared" si="7"/>
        <v>0</v>
      </c>
      <c r="H169" s="66">
        <v>26.0328</v>
      </c>
      <c r="I169" s="66">
        <v>33.4774</v>
      </c>
      <c r="J169" s="66">
        <v>29.1698</v>
      </c>
      <c r="K169" s="81">
        <f t="shared" si="2"/>
        <v>7.4446</v>
      </c>
      <c r="L169" s="81">
        <f t="shared" si="3"/>
        <v>3.137</v>
      </c>
    </row>
    <row r="170">
      <c r="A170" s="82">
        <v>44635.0</v>
      </c>
      <c r="B170" s="82">
        <v>44635.0</v>
      </c>
      <c r="C170" s="66">
        <v>2089.0</v>
      </c>
      <c r="D170" s="66" t="s">
        <v>203</v>
      </c>
      <c r="E170" s="66">
        <v>1.0</v>
      </c>
      <c r="F170" s="66" t="s">
        <v>205</v>
      </c>
      <c r="G170" s="66">
        <v>2.0</v>
      </c>
      <c r="H170" s="66">
        <v>26.6758</v>
      </c>
      <c r="I170" s="66">
        <v>28.5837</v>
      </c>
      <c r="J170" s="66">
        <v>28.0109</v>
      </c>
      <c r="K170" s="81">
        <f t="shared" si="2"/>
        <v>1.9079</v>
      </c>
      <c r="L170" s="81">
        <f t="shared" si="3"/>
        <v>1.3351</v>
      </c>
    </row>
    <row r="171">
      <c r="A171" s="82">
        <v>44635.0</v>
      </c>
      <c r="B171" s="82">
        <v>44635.0</v>
      </c>
      <c r="C171" s="66">
        <v>2382.0</v>
      </c>
      <c r="D171" s="66" t="s">
        <v>203</v>
      </c>
      <c r="E171" s="66">
        <v>0.0</v>
      </c>
      <c r="F171" s="66" t="s">
        <v>205</v>
      </c>
      <c r="G171" s="66">
        <f t="shared" ref="G171:G181" si="8">if(E171="old",1,0)</f>
        <v>0</v>
      </c>
      <c r="H171" s="66">
        <v>26.0049</v>
      </c>
      <c r="I171" s="66">
        <v>32.1601</v>
      </c>
      <c r="J171" s="66">
        <v>28.4612</v>
      </c>
      <c r="K171" s="81">
        <f t="shared" si="2"/>
        <v>6.1552</v>
      </c>
      <c r="L171" s="81">
        <f t="shared" si="3"/>
        <v>2.4563</v>
      </c>
    </row>
    <row r="172">
      <c r="A172" s="82">
        <v>44635.0</v>
      </c>
      <c r="B172" s="82">
        <v>44635.0</v>
      </c>
      <c r="C172" s="66">
        <v>2024.0</v>
      </c>
      <c r="D172" s="66" t="s">
        <v>203</v>
      </c>
      <c r="E172" s="66">
        <v>0.0</v>
      </c>
      <c r="F172" s="66" t="s">
        <v>205</v>
      </c>
      <c r="G172" s="66">
        <f t="shared" si="8"/>
        <v>0</v>
      </c>
      <c r="H172" s="66">
        <v>26.0771</v>
      </c>
      <c r="I172" s="66">
        <v>31.2128</v>
      </c>
      <c r="J172" s="66">
        <v>28.1324</v>
      </c>
      <c r="K172" s="81">
        <f t="shared" si="2"/>
        <v>5.1357</v>
      </c>
      <c r="L172" s="81">
        <f t="shared" si="3"/>
        <v>2.0553</v>
      </c>
    </row>
    <row r="173">
      <c r="A173" s="82">
        <v>44635.0</v>
      </c>
      <c r="B173" s="82">
        <v>44635.0</v>
      </c>
      <c r="C173" s="66">
        <v>2025.0</v>
      </c>
      <c r="D173" s="66" t="s">
        <v>203</v>
      </c>
      <c r="E173" s="66">
        <v>0.0</v>
      </c>
      <c r="F173" s="66" t="s">
        <v>204</v>
      </c>
      <c r="G173" s="66">
        <f t="shared" si="8"/>
        <v>0</v>
      </c>
      <c r="H173" s="66">
        <v>26.4062</v>
      </c>
      <c r="I173" s="66">
        <v>27.2374</v>
      </c>
      <c r="J173" s="66">
        <v>26.7243</v>
      </c>
      <c r="K173" s="81">
        <f t="shared" si="2"/>
        <v>0.8312</v>
      </c>
      <c r="L173" s="81">
        <f t="shared" si="3"/>
        <v>0.3181</v>
      </c>
    </row>
    <row r="174">
      <c r="A174" s="82">
        <v>44635.0</v>
      </c>
      <c r="B174" s="82">
        <v>44635.0</v>
      </c>
      <c r="C174" s="66">
        <v>2027.0</v>
      </c>
      <c r="D174" s="66" t="s">
        <v>203</v>
      </c>
      <c r="E174" s="66">
        <v>0.0</v>
      </c>
      <c r="F174" s="66" t="s">
        <v>205</v>
      </c>
      <c r="G174" s="66">
        <f t="shared" si="8"/>
        <v>0</v>
      </c>
      <c r="H174" s="66">
        <v>26.5188</v>
      </c>
      <c r="I174" s="66">
        <v>34.1571</v>
      </c>
      <c r="J174" s="66">
        <v>29.8981</v>
      </c>
      <c r="K174" s="81">
        <f t="shared" si="2"/>
        <v>7.6383</v>
      </c>
      <c r="L174" s="81">
        <f t="shared" si="3"/>
        <v>3.3793</v>
      </c>
    </row>
    <row r="175">
      <c r="A175" s="82">
        <v>44635.0</v>
      </c>
      <c r="B175" s="82">
        <v>44635.0</v>
      </c>
      <c r="C175" s="66">
        <v>2382.0</v>
      </c>
      <c r="D175" s="66" t="s">
        <v>203</v>
      </c>
      <c r="E175" s="66">
        <v>1.0</v>
      </c>
      <c r="F175" s="66" t="s">
        <v>204</v>
      </c>
      <c r="G175" s="66">
        <f t="shared" si="8"/>
        <v>0</v>
      </c>
      <c r="H175" s="66">
        <v>26.3395</v>
      </c>
      <c r="I175" s="66">
        <v>27.2141</v>
      </c>
      <c r="J175" s="66">
        <v>26.9061</v>
      </c>
      <c r="K175" s="81">
        <f t="shared" si="2"/>
        <v>0.8746</v>
      </c>
      <c r="L175" s="81">
        <f t="shared" si="3"/>
        <v>0.5666</v>
      </c>
    </row>
    <row r="176">
      <c r="A176" s="82">
        <v>44635.0</v>
      </c>
      <c r="B176" s="82">
        <v>44635.0</v>
      </c>
      <c r="C176" s="66">
        <v>2093.0</v>
      </c>
      <c r="D176" s="66" t="s">
        <v>203</v>
      </c>
      <c r="E176" s="66">
        <v>1.0</v>
      </c>
      <c r="F176" s="66" t="s">
        <v>204</v>
      </c>
      <c r="G176" s="66">
        <f t="shared" si="8"/>
        <v>0</v>
      </c>
      <c r="H176" s="66">
        <v>26.424</v>
      </c>
      <c r="I176" s="66">
        <v>27.6303</v>
      </c>
      <c r="J176" s="66">
        <v>27.1354</v>
      </c>
      <c r="K176" s="81">
        <f t="shared" si="2"/>
        <v>1.2063</v>
      </c>
      <c r="L176" s="81">
        <f t="shared" si="3"/>
        <v>0.7114</v>
      </c>
    </row>
    <row r="177">
      <c r="A177" s="82">
        <v>44635.0</v>
      </c>
      <c r="B177" s="82">
        <v>44635.0</v>
      </c>
      <c r="C177" s="66">
        <v>2089.0</v>
      </c>
      <c r="E177" s="66">
        <v>0.0</v>
      </c>
      <c r="F177" s="66" t="s">
        <v>204</v>
      </c>
      <c r="G177" s="66">
        <f t="shared" si="8"/>
        <v>0</v>
      </c>
      <c r="H177" s="66">
        <v>25.7921</v>
      </c>
      <c r="I177" s="66">
        <v>27.1446</v>
      </c>
      <c r="J177" s="66">
        <v>26.5783</v>
      </c>
      <c r="K177" s="81">
        <f t="shared" si="2"/>
        <v>1.3525</v>
      </c>
      <c r="L177" s="81">
        <f t="shared" si="3"/>
        <v>0.7862</v>
      </c>
    </row>
    <row r="178">
      <c r="A178" s="82">
        <v>44635.0</v>
      </c>
      <c r="B178" s="82">
        <v>44635.0</v>
      </c>
      <c r="C178" s="66">
        <v>2021.0</v>
      </c>
      <c r="D178" s="66" t="s">
        <v>203</v>
      </c>
      <c r="E178" s="66">
        <v>1.0</v>
      </c>
      <c r="F178" s="66" t="s">
        <v>204</v>
      </c>
      <c r="G178" s="66">
        <f t="shared" si="8"/>
        <v>0</v>
      </c>
      <c r="H178" s="66">
        <v>26.2103</v>
      </c>
      <c r="I178" s="66">
        <v>28.2161</v>
      </c>
      <c r="J178" s="66">
        <v>27.0</v>
      </c>
      <c r="K178" s="81">
        <f t="shared" si="2"/>
        <v>2.0058</v>
      </c>
      <c r="L178" s="81">
        <f t="shared" si="3"/>
        <v>0.7897</v>
      </c>
    </row>
    <row r="179">
      <c r="A179" s="82">
        <v>44635.0</v>
      </c>
      <c r="B179" s="82">
        <v>44635.0</v>
      </c>
      <c r="C179" s="66">
        <v>2093.0</v>
      </c>
      <c r="D179" s="66" t="s">
        <v>203</v>
      </c>
      <c r="E179" s="66">
        <v>0.0</v>
      </c>
      <c r="F179" s="66" t="s">
        <v>205</v>
      </c>
      <c r="G179" s="66">
        <f t="shared" si="8"/>
        <v>0</v>
      </c>
      <c r="H179" s="66">
        <v>26.3925</v>
      </c>
      <c r="I179" s="66">
        <v>26.5626</v>
      </c>
      <c r="J179" s="66">
        <v>26.5079</v>
      </c>
      <c r="K179" s="81">
        <f t="shared" si="2"/>
        <v>0.1701</v>
      </c>
      <c r="L179" s="81">
        <f t="shared" si="3"/>
        <v>0.1154</v>
      </c>
    </row>
    <row r="180">
      <c r="A180" s="82">
        <v>44635.0</v>
      </c>
      <c r="B180" s="82">
        <v>44635.0</v>
      </c>
      <c r="C180" s="66">
        <v>2093.0</v>
      </c>
      <c r="D180" s="66" t="s">
        <v>203</v>
      </c>
      <c r="E180" s="66">
        <v>0.0</v>
      </c>
      <c r="F180" s="66" t="s">
        <v>204</v>
      </c>
      <c r="G180" s="66">
        <f t="shared" si="8"/>
        <v>0</v>
      </c>
      <c r="H180" s="66">
        <v>25.9051</v>
      </c>
      <c r="I180" s="66">
        <v>25.9173</v>
      </c>
      <c r="J180" s="66">
        <v>25.9288</v>
      </c>
      <c r="K180" s="81">
        <f t="shared" si="2"/>
        <v>0.0122</v>
      </c>
      <c r="L180" s="81">
        <f t="shared" si="3"/>
        <v>0.0237</v>
      </c>
    </row>
    <row r="181">
      <c r="A181" s="82">
        <v>44635.0</v>
      </c>
      <c r="B181" s="82">
        <v>44635.0</v>
      </c>
      <c r="C181" s="66">
        <v>2022.0</v>
      </c>
      <c r="D181" s="66" t="s">
        <v>203</v>
      </c>
      <c r="E181" s="66">
        <v>0.0</v>
      </c>
      <c r="F181" s="66" t="s">
        <v>205</v>
      </c>
      <c r="G181" s="66">
        <f t="shared" si="8"/>
        <v>0</v>
      </c>
      <c r="H181" s="66">
        <v>26.5345</v>
      </c>
      <c r="I181" s="66">
        <v>33.6588</v>
      </c>
      <c r="J181" s="66">
        <v>29.7896</v>
      </c>
      <c r="K181" s="81">
        <f t="shared" si="2"/>
        <v>7.1243</v>
      </c>
      <c r="L181" s="81">
        <f t="shared" si="3"/>
        <v>3.2551</v>
      </c>
    </row>
    <row r="182">
      <c r="A182" s="82">
        <v>44635.0</v>
      </c>
      <c r="B182" s="82">
        <v>44635.0</v>
      </c>
      <c r="C182" s="66">
        <v>2092.0</v>
      </c>
      <c r="D182" s="66" t="s">
        <v>203</v>
      </c>
      <c r="E182" s="66">
        <v>1.0</v>
      </c>
      <c r="F182" s="66" t="s">
        <v>205</v>
      </c>
      <c r="G182" s="66">
        <v>2.0</v>
      </c>
      <c r="H182" s="66">
        <v>26.3995</v>
      </c>
      <c r="I182" s="66">
        <v>28.7797</v>
      </c>
      <c r="J182" s="66">
        <v>27.7431</v>
      </c>
      <c r="K182" s="81">
        <f t="shared" si="2"/>
        <v>2.3802</v>
      </c>
      <c r="L182" s="81">
        <f t="shared" si="3"/>
        <v>1.3436</v>
      </c>
    </row>
    <row r="183">
      <c r="A183" s="82">
        <v>44635.0</v>
      </c>
      <c r="B183" s="82">
        <v>44635.0</v>
      </c>
      <c r="C183" s="66">
        <v>2022.0</v>
      </c>
      <c r="D183" s="66" t="s">
        <v>203</v>
      </c>
      <c r="E183" s="66">
        <v>0.0</v>
      </c>
      <c r="F183" s="66" t="s">
        <v>204</v>
      </c>
      <c r="G183" s="66">
        <f t="shared" ref="G183:G330" si="9">if(E183="old",1,0)</f>
        <v>0</v>
      </c>
      <c r="H183" s="66">
        <v>25.8468</v>
      </c>
      <c r="I183" s="66">
        <v>26.8838</v>
      </c>
      <c r="J183" s="66">
        <v>26.0413</v>
      </c>
      <c r="K183" s="81">
        <f t="shared" si="2"/>
        <v>1.037</v>
      </c>
      <c r="L183" s="81">
        <f t="shared" si="3"/>
        <v>0.1945</v>
      </c>
    </row>
    <row r="184">
      <c r="A184" s="82">
        <v>44635.0</v>
      </c>
      <c r="B184" s="82">
        <v>44635.0</v>
      </c>
      <c r="C184" s="66">
        <v>2023.0</v>
      </c>
      <c r="D184" s="66" t="s">
        <v>203</v>
      </c>
      <c r="E184" s="66">
        <v>1.0</v>
      </c>
      <c r="F184" s="66" t="s">
        <v>204</v>
      </c>
      <c r="G184" s="66">
        <f t="shared" si="9"/>
        <v>0</v>
      </c>
      <c r="H184" s="66">
        <v>25.899</v>
      </c>
      <c r="I184" s="66">
        <v>26.8049</v>
      </c>
      <c r="J184" s="66">
        <v>26.321</v>
      </c>
      <c r="K184" s="81">
        <f t="shared" si="2"/>
        <v>0.9059</v>
      </c>
      <c r="L184" s="81">
        <f t="shared" si="3"/>
        <v>0.422</v>
      </c>
    </row>
    <row r="185">
      <c r="A185" s="82">
        <v>44635.0</v>
      </c>
      <c r="B185" s="82">
        <v>44635.0</v>
      </c>
      <c r="C185" s="66">
        <v>2323.0</v>
      </c>
      <c r="D185" s="66" t="s">
        <v>203</v>
      </c>
      <c r="E185" s="66">
        <v>1.0</v>
      </c>
      <c r="F185" s="66" t="s">
        <v>205</v>
      </c>
      <c r="G185" s="66">
        <f t="shared" si="9"/>
        <v>0</v>
      </c>
      <c r="H185" s="66">
        <v>25.4171</v>
      </c>
      <c r="I185" s="66">
        <v>29.776</v>
      </c>
      <c r="J185" s="66">
        <v>27.8604</v>
      </c>
      <c r="K185" s="81">
        <f t="shared" si="2"/>
        <v>4.3589</v>
      </c>
      <c r="L185" s="81">
        <f t="shared" si="3"/>
        <v>2.4433</v>
      </c>
    </row>
    <row r="186">
      <c r="A186" s="82">
        <v>44650.0</v>
      </c>
      <c r="B186" s="82">
        <v>44650.0</v>
      </c>
      <c r="C186" s="66">
        <v>2301.0</v>
      </c>
      <c r="D186" s="66" t="s">
        <v>203</v>
      </c>
      <c r="E186" s="66">
        <v>1.0</v>
      </c>
      <c r="F186" s="66" t="s">
        <v>205</v>
      </c>
      <c r="G186" s="66">
        <f t="shared" si="9"/>
        <v>0</v>
      </c>
      <c r="H186" s="66">
        <v>26.1807</v>
      </c>
      <c r="I186" s="66">
        <v>32.3827</v>
      </c>
      <c r="J186" s="66">
        <v>29.6658</v>
      </c>
      <c r="K186" s="81">
        <f t="shared" si="2"/>
        <v>6.202</v>
      </c>
      <c r="L186" s="81">
        <f t="shared" si="3"/>
        <v>3.4851</v>
      </c>
    </row>
    <row r="187">
      <c r="A187" s="82">
        <v>44650.0</v>
      </c>
      <c r="B187" s="82">
        <v>44650.0</v>
      </c>
      <c r="C187" s="66">
        <v>2372.0</v>
      </c>
      <c r="D187" s="66" t="s">
        <v>203</v>
      </c>
      <c r="E187" s="66">
        <v>0.0</v>
      </c>
      <c r="F187" s="66" t="s">
        <v>205</v>
      </c>
      <c r="G187" s="66">
        <f t="shared" si="9"/>
        <v>0</v>
      </c>
      <c r="H187" s="66">
        <v>26.6864</v>
      </c>
      <c r="I187" s="66">
        <v>34.8793</v>
      </c>
      <c r="J187" s="66">
        <v>29.7515</v>
      </c>
      <c r="K187" s="81">
        <f t="shared" si="2"/>
        <v>8.1929</v>
      </c>
      <c r="L187" s="81">
        <f t="shared" si="3"/>
        <v>3.0651</v>
      </c>
    </row>
    <row r="188">
      <c r="A188" s="82">
        <v>44650.0</v>
      </c>
      <c r="B188" s="82">
        <v>44650.0</v>
      </c>
      <c r="C188" s="66">
        <v>2370.0</v>
      </c>
      <c r="D188" s="66" t="s">
        <v>203</v>
      </c>
      <c r="E188" s="66">
        <v>0.0</v>
      </c>
      <c r="F188" s="66" t="s">
        <v>204</v>
      </c>
      <c r="G188" s="66">
        <f t="shared" si="9"/>
        <v>0</v>
      </c>
      <c r="H188" s="66">
        <v>24.4081</v>
      </c>
      <c r="I188" s="66">
        <v>25.6442</v>
      </c>
      <c r="J188" s="66">
        <v>25.5005</v>
      </c>
      <c r="K188" s="81">
        <f t="shared" si="2"/>
        <v>1.2361</v>
      </c>
      <c r="L188" s="81">
        <f t="shared" si="3"/>
        <v>1.0924</v>
      </c>
    </row>
    <row r="189">
      <c r="A189" s="82">
        <v>44650.0</v>
      </c>
      <c r="B189" s="82">
        <v>44650.0</v>
      </c>
      <c r="C189" s="66">
        <v>2382.0</v>
      </c>
      <c r="D189" s="66" t="s">
        <v>203</v>
      </c>
      <c r="E189" s="66">
        <v>0.0</v>
      </c>
      <c r="F189" s="66" t="s">
        <v>204</v>
      </c>
      <c r="G189" s="66">
        <f t="shared" si="9"/>
        <v>0</v>
      </c>
      <c r="H189" s="66">
        <v>25.9085</v>
      </c>
      <c r="I189" s="66">
        <v>26.5133</v>
      </c>
      <c r="J189" s="66">
        <v>26.2952</v>
      </c>
      <c r="K189" s="81">
        <f t="shared" si="2"/>
        <v>0.6048</v>
      </c>
      <c r="L189" s="81">
        <f t="shared" si="3"/>
        <v>0.3867</v>
      </c>
    </row>
    <row r="190">
      <c r="A190" s="82">
        <v>44650.0</v>
      </c>
      <c r="B190" s="82">
        <v>44650.0</v>
      </c>
      <c r="C190" s="66">
        <v>2352.0</v>
      </c>
      <c r="D190" s="66" t="s">
        <v>203</v>
      </c>
      <c r="E190" s="66">
        <v>1.0</v>
      </c>
      <c r="F190" s="66" t="s">
        <v>204</v>
      </c>
      <c r="G190" s="66">
        <f t="shared" si="9"/>
        <v>0</v>
      </c>
      <c r="H190" s="66">
        <v>25.8574</v>
      </c>
      <c r="I190" s="66">
        <v>26.0737</v>
      </c>
      <c r="J190" s="66">
        <v>26.1947</v>
      </c>
      <c r="K190" s="81">
        <f t="shared" si="2"/>
        <v>0.2163</v>
      </c>
      <c r="L190" s="81">
        <f t="shared" si="3"/>
        <v>0.3373</v>
      </c>
    </row>
    <row r="191">
      <c r="A191" s="82">
        <v>44650.0</v>
      </c>
      <c r="B191" s="82">
        <v>44650.0</v>
      </c>
      <c r="C191" s="66">
        <v>2009.0</v>
      </c>
      <c r="D191" s="66" t="s">
        <v>203</v>
      </c>
      <c r="E191" s="66">
        <v>1.0</v>
      </c>
      <c r="F191" s="66" t="s">
        <v>204</v>
      </c>
      <c r="G191" s="66">
        <f t="shared" si="9"/>
        <v>0</v>
      </c>
      <c r="H191" s="66">
        <v>26.3355</v>
      </c>
      <c r="I191" s="66">
        <v>26.992</v>
      </c>
      <c r="J191" s="66">
        <v>26.6559</v>
      </c>
      <c r="K191" s="81">
        <f t="shared" si="2"/>
        <v>0.6565</v>
      </c>
      <c r="L191" s="81">
        <f t="shared" si="3"/>
        <v>0.3204</v>
      </c>
    </row>
    <row r="192">
      <c r="A192" s="82">
        <v>44650.0</v>
      </c>
      <c r="B192" s="82">
        <v>44650.0</v>
      </c>
      <c r="C192" s="66">
        <v>2009.0</v>
      </c>
      <c r="D192" s="66" t="s">
        <v>203</v>
      </c>
      <c r="E192" s="66">
        <v>0.0</v>
      </c>
      <c r="F192" s="66" t="s">
        <v>204</v>
      </c>
      <c r="G192" s="66">
        <f t="shared" si="9"/>
        <v>0</v>
      </c>
      <c r="H192" s="66">
        <v>26.1852</v>
      </c>
      <c r="I192" s="66">
        <v>27.054</v>
      </c>
      <c r="J192" s="66">
        <v>26.3529</v>
      </c>
      <c r="K192" s="81">
        <f t="shared" si="2"/>
        <v>0.8688</v>
      </c>
      <c r="L192" s="81">
        <f t="shared" si="3"/>
        <v>0.1677</v>
      </c>
    </row>
    <row r="193">
      <c r="A193" s="82">
        <v>44650.0</v>
      </c>
      <c r="B193" s="82">
        <v>44650.0</v>
      </c>
      <c r="C193" s="66">
        <v>2371.0</v>
      </c>
      <c r="D193" s="66" t="s">
        <v>203</v>
      </c>
      <c r="E193" s="66">
        <v>0.0</v>
      </c>
      <c r="F193" s="66" t="s">
        <v>204</v>
      </c>
      <c r="G193" s="66">
        <f t="shared" si="9"/>
        <v>0</v>
      </c>
      <c r="H193" s="66">
        <v>15.6233</v>
      </c>
      <c r="I193" s="66">
        <v>16.078</v>
      </c>
      <c r="J193" s="66">
        <v>15.7581</v>
      </c>
      <c r="K193" s="81">
        <f t="shared" si="2"/>
        <v>0.4547</v>
      </c>
      <c r="L193" s="81">
        <f t="shared" si="3"/>
        <v>0.1348</v>
      </c>
    </row>
    <row r="194">
      <c r="A194" s="82">
        <v>44650.0</v>
      </c>
      <c r="B194" s="82">
        <v>44650.0</v>
      </c>
      <c r="C194" s="66">
        <v>2354.0</v>
      </c>
      <c r="D194" s="66" t="s">
        <v>203</v>
      </c>
      <c r="E194" s="66">
        <v>0.0</v>
      </c>
      <c r="F194" s="66" t="s">
        <v>205</v>
      </c>
      <c r="G194" s="66">
        <f t="shared" si="9"/>
        <v>0</v>
      </c>
      <c r="H194" s="66">
        <v>26.2709</v>
      </c>
      <c r="I194" s="66">
        <v>28.4329</v>
      </c>
      <c r="J194" s="66">
        <v>27.1188</v>
      </c>
      <c r="K194" s="81">
        <f t="shared" si="2"/>
        <v>2.162</v>
      </c>
      <c r="L194" s="81">
        <f t="shared" si="3"/>
        <v>0.8479</v>
      </c>
    </row>
    <row r="195">
      <c r="A195" s="82">
        <v>44650.0</v>
      </c>
      <c r="B195" s="82">
        <v>44650.0</v>
      </c>
      <c r="C195" s="66">
        <v>2369.0</v>
      </c>
      <c r="D195" s="66" t="s">
        <v>203</v>
      </c>
      <c r="E195" s="66">
        <v>1.0</v>
      </c>
      <c r="F195" s="66" t="s">
        <v>204</v>
      </c>
      <c r="G195" s="66">
        <f t="shared" si="9"/>
        <v>0</v>
      </c>
      <c r="H195" s="66">
        <v>26.4857</v>
      </c>
      <c r="I195" s="66">
        <v>26.685</v>
      </c>
      <c r="J195" s="66">
        <v>27.0793</v>
      </c>
      <c r="K195" s="81">
        <f t="shared" si="2"/>
        <v>0.1993</v>
      </c>
      <c r="L195" s="81">
        <f t="shared" si="3"/>
        <v>0.5936</v>
      </c>
    </row>
    <row r="196">
      <c r="A196" s="82">
        <v>44650.0</v>
      </c>
      <c r="B196" s="82">
        <v>44650.0</v>
      </c>
      <c r="C196" s="66">
        <v>2360.0</v>
      </c>
      <c r="D196" s="66" t="s">
        <v>203</v>
      </c>
      <c r="E196" s="66">
        <v>1.0</v>
      </c>
      <c r="F196" s="66" t="s">
        <v>204</v>
      </c>
      <c r="G196" s="66">
        <f t="shared" si="9"/>
        <v>0</v>
      </c>
      <c r="H196" s="66">
        <v>26.1919</v>
      </c>
      <c r="I196" s="66">
        <v>26.7648</v>
      </c>
      <c r="J196" s="66">
        <v>26.6532</v>
      </c>
      <c r="K196" s="81">
        <f t="shared" si="2"/>
        <v>0.5729</v>
      </c>
      <c r="L196" s="81">
        <f t="shared" si="3"/>
        <v>0.4613</v>
      </c>
    </row>
    <row r="197">
      <c r="A197" s="82">
        <v>44650.0</v>
      </c>
      <c r="B197" s="82">
        <v>44650.0</v>
      </c>
      <c r="C197" s="66">
        <v>2378.0</v>
      </c>
      <c r="D197" s="66" t="s">
        <v>203</v>
      </c>
      <c r="E197" s="66">
        <v>1.0</v>
      </c>
      <c r="F197" s="66" t="s">
        <v>204</v>
      </c>
      <c r="G197" s="66">
        <f t="shared" si="9"/>
        <v>0</v>
      </c>
      <c r="H197" s="66">
        <v>26.5167</v>
      </c>
      <c r="I197" s="66">
        <v>27.4468</v>
      </c>
      <c r="J197" s="66">
        <v>26.9452</v>
      </c>
      <c r="K197" s="81">
        <f t="shared" si="2"/>
        <v>0.9301</v>
      </c>
      <c r="L197" s="81">
        <f t="shared" si="3"/>
        <v>0.4285</v>
      </c>
    </row>
    <row r="198">
      <c r="A198" s="82">
        <v>44650.0</v>
      </c>
      <c r="B198" s="82">
        <v>44650.0</v>
      </c>
      <c r="C198" s="66">
        <v>2343.0</v>
      </c>
      <c r="D198" s="66" t="s">
        <v>203</v>
      </c>
      <c r="E198" s="66">
        <v>0.0</v>
      </c>
      <c r="F198" s="66" t="s">
        <v>204</v>
      </c>
      <c r="G198" s="66">
        <f t="shared" si="9"/>
        <v>0</v>
      </c>
      <c r="H198" s="66">
        <v>26.3505</v>
      </c>
      <c r="I198" s="66">
        <v>27.5913</v>
      </c>
      <c r="J198" s="66">
        <v>26.6473</v>
      </c>
      <c r="K198" s="81">
        <f t="shared" si="2"/>
        <v>1.2408</v>
      </c>
      <c r="L198" s="81">
        <f t="shared" si="3"/>
        <v>0.2968</v>
      </c>
    </row>
    <row r="199">
      <c r="A199" s="82">
        <v>44650.0</v>
      </c>
      <c r="B199" s="82">
        <v>44650.0</v>
      </c>
      <c r="C199" s="66">
        <v>2380.0</v>
      </c>
      <c r="D199" s="66" t="s">
        <v>203</v>
      </c>
      <c r="E199" s="66">
        <v>0.0</v>
      </c>
      <c r="F199" s="66" t="s">
        <v>205</v>
      </c>
      <c r="G199" s="66">
        <f t="shared" si="9"/>
        <v>0</v>
      </c>
      <c r="H199" s="66">
        <v>26.1391</v>
      </c>
      <c r="I199" s="66">
        <v>26.6951</v>
      </c>
      <c r="J199" s="66">
        <v>26.3138</v>
      </c>
      <c r="K199" s="81">
        <f t="shared" si="2"/>
        <v>0.556</v>
      </c>
      <c r="L199" s="81">
        <f t="shared" si="3"/>
        <v>0.1747</v>
      </c>
    </row>
    <row r="200">
      <c r="A200" s="82">
        <v>44650.0</v>
      </c>
      <c r="B200" s="82">
        <v>44650.0</v>
      </c>
      <c r="C200" s="66">
        <v>2009.0</v>
      </c>
      <c r="D200" s="66" t="s">
        <v>203</v>
      </c>
      <c r="E200" s="66">
        <v>0.0</v>
      </c>
      <c r="F200" s="66" t="s">
        <v>205</v>
      </c>
      <c r="G200" s="66">
        <f t="shared" si="9"/>
        <v>0</v>
      </c>
      <c r="H200" s="66">
        <v>25.8433</v>
      </c>
      <c r="I200" s="66">
        <v>29.7626</v>
      </c>
      <c r="J200" s="66">
        <v>27.3928</v>
      </c>
      <c r="K200" s="81">
        <f t="shared" si="2"/>
        <v>3.9193</v>
      </c>
      <c r="L200" s="81">
        <f t="shared" si="3"/>
        <v>1.5495</v>
      </c>
    </row>
    <row r="201">
      <c r="A201" s="82">
        <v>44650.0</v>
      </c>
      <c r="B201" s="82">
        <v>44650.0</v>
      </c>
      <c r="C201" s="66">
        <v>2352.0</v>
      </c>
      <c r="D201" s="66" t="s">
        <v>203</v>
      </c>
      <c r="E201" s="66">
        <v>1.0</v>
      </c>
      <c r="F201" s="66" t="s">
        <v>205</v>
      </c>
      <c r="G201" s="66">
        <f t="shared" si="9"/>
        <v>0</v>
      </c>
      <c r="H201" s="66">
        <v>25.6363</v>
      </c>
      <c r="I201" s="66">
        <v>28.831</v>
      </c>
      <c r="J201" s="66">
        <v>27.559</v>
      </c>
      <c r="K201" s="81">
        <f t="shared" si="2"/>
        <v>3.1947</v>
      </c>
      <c r="L201" s="81">
        <f t="shared" si="3"/>
        <v>1.9227</v>
      </c>
    </row>
    <row r="202">
      <c r="A202" s="82">
        <v>44650.0</v>
      </c>
      <c r="B202" s="82">
        <v>44650.0</v>
      </c>
      <c r="C202" s="66">
        <v>2352.0</v>
      </c>
      <c r="D202" s="66" t="s">
        <v>203</v>
      </c>
      <c r="E202" s="66">
        <v>0.0</v>
      </c>
      <c r="F202" s="66" t="s">
        <v>204</v>
      </c>
      <c r="G202" s="66">
        <f t="shared" si="9"/>
        <v>0</v>
      </c>
      <c r="H202" s="66">
        <v>25.9494</v>
      </c>
      <c r="I202" s="66">
        <v>26.484</v>
      </c>
      <c r="J202" s="66">
        <v>26.1225</v>
      </c>
      <c r="K202" s="81">
        <f t="shared" si="2"/>
        <v>0.5346</v>
      </c>
      <c r="L202" s="81">
        <f t="shared" si="3"/>
        <v>0.1731</v>
      </c>
    </row>
    <row r="203">
      <c r="A203" s="82">
        <v>44650.0</v>
      </c>
      <c r="B203" s="82">
        <v>44650.0</v>
      </c>
      <c r="C203" s="66">
        <v>2367.0</v>
      </c>
      <c r="D203" s="66" t="s">
        <v>203</v>
      </c>
      <c r="E203" s="66">
        <v>1.0</v>
      </c>
      <c r="F203" s="66" t="s">
        <v>204</v>
      </c>
      <c r="G203" s="66">
        <f t="shared" si="9"/>
        <v>0</v>
      </c>
      <c r="H203" s="66">
        <v>25.9771</v>
      </c>
      <c r="I203" s="66">
        <v>27.1091</v>
      </c>
      <c r="J203" s="66">
        <v>26.8212</v>
      </c>
      <c r="K203" s="81">
        <f t="shared" si="2"/>
        <v>1.132</v>
      </c>
      <c r="L203" s="81">
        <f t="shared" si="3"/>
        <v>0.8441</v>
      </c>
    </row>
    <row r="204">
      <c r="A204" s="82">
        <v>44650.0</v>
      </c>
      <c r="B204" s="82">
        <v>44650.0</v>
      </c>
      <c r="C204" s="66">
        <v>2354.0</v>
      </c>
      <c r="D204" s="66" t="s">
        <v>203</v>
      </c>
      <c r="E204" s="66">
        <v>0.0</v>
      </c>
      <c r="F204" s="66" t="s">
        <v>204</v>
      </c>
      <c r="G204" s="66">
        <f t="shared" si="9"/>
        <v>0</v>
      </c>
      <c r="H204" s="66">
        <v>26.501</v>
      </c>
      <c r="I204" s="66">
        <v>26.6767</v>
      </c>
      <c r="J204" s="66">
        <v>26.5444</v>
      </c>
      <c r="K204" s="81">
        <f t="shared" si="2"/>
        <v>0.1757</v>
      </c>
      <c r="L204" s="81">
        <f t="shared" si="3"/>
        <v>0.0434</v>
      </c>
    </row>
    <row r="205">
      <c r="A205" s="82">
        <v>44650.0</v>
      </c>
      <c r="B205" s="82">
        <v>44650.0</v>
      </c>
      <c r="C205" s="66">
        <v>2377.0</v>
      </c>
      <c r="D205" s="66" t="s">
        <v>203</v>
      </c>
      <c r="E205" s="66">
        <v>1.0</v>
      </c>
      <c r="F205" s="66" t="s">
        <v>204</v>
      </c>
      <c r="G205" s="66">
        <f t="shared" si="9"/>
        <v>0</v>
      </c>
      <c r="H205" s="66">
        <v>26.5507</v>
      </c>
      <c r="I205" s="66">
        <v>26.9622</v>
      </c>
      <c r="J205" s="66">
        <v>27.0137</v>
      </c>
      <c r="K205" s="81">
        <f t="shared" si="2"/>
        <v>0.4115</v>
      </c>
      <c r="L205" s="81">
        <f t="shared" si="3"/>
        <v>0.463</v>
      </c>
    </row>
    <row r="206">
      <c r="A206" s="82">
        <v>44650.0</v>
      </c>
      <c r="B206" s="82">
        <v>44650.0</v>
      </c>
      <c r="C206" s="66">
        <v>2367.0</v>
      </c>
      <c r="D206" s="66" t="s">
        <v>203</v>
      </c>
      <c r="E206" s="66">
        <v>0.0</v>
      </c>
      <c r="F206" s="66" t="s">
        <v>204</v>
      </c>
      <c r="G206" s="66">
        <f t="shared" si="9"/>
        <v>0</v>
      </c>
      <c r="H206" s="66">
        <v>25.8818</v>
      </c>
      <c r="I206" s="66">
        <v>26.0257</v>
      </c>
      <c r="J206" s="66">
        <v>25.9787</v>
      </c>
      <c r="K206" s="81">
        <f t="shared" si="2"/>
        <v>0.1439</v>
      </c>
      <c r="L206" s="81">
        <f t="shared" si="3"/>
        <v>0.0969</v>
      </c>
    </row>
    <row r="207">
      <c r="A207" s="82">
        <v>44650.0</v>
      </c>
      <c r="B207" s="82">
        <v>44650.0</v>
      </c>
      <c r="C207" s="66">
        <v>2360.0</v>
      </c>
      <c r="D207" s="66" t="s">
        <v>203</v>
      </c>
      <c r="E207" s="66">
        <v>0.0</v>
      </c>
      <c r="F207" s="66" t="s">
        <v>204</v>
      </c>
      <c r="G207" s="66">
        <f t="shared" si="9"/>
        <v>0</v>
      </c>
      <c r="H207" s="66">
        <v>25.6488</v>
      </c>
      <c r="I207" s="66">
        <v>26.7416</v>
      </c>
      <c r="J207" s="66">
        <v>25.938</v>
      </c>
      <c r="K207" s="81">
        <f t="shared" si="2"/>
        <v>1.0928</v>
      </c>
      <c r="L207" s="81">
        <f t="shared" si="3"/>
        <v>0.2892</v>
      </c>
    </row>
    <row r="208">
      <c r="A208" s="82">
        <v>44650.0</v>
      </c>
      <c r="B208" s="82">
        <v>44650.0</v>
      </c>
      <c r="C208" s="66">
        <v>2379.0</v>
      </c>
      <c r="D208" s="66" t="s">
        <v>203</v>
      </c>
      <c r="E208" s="66">
        <v>0.0</v>
      </c>
      <c r="F208" s="66" t="s">
        <v>204</v>
      </c>
      <c r="G208" s="66">
        <f t="shared" si="9"/>
        <v>0</v>
      </c>
      <c r="H208" s="66">
        <v>26.259</v>
      </c>
      <c r="I208" s="66">
        <v>27.135</v>
      </c>
      <c r="J208" s="66">
        <v>26.6255</v>
      </c>
      <c r="K208" s="81">
        <f t="shared" si="2"/>
        <v>0.876</v>
      </c>
      <c r="L208" s="81">
        <f t="shared" si="3"/>
        <v>0.3665</v>
      </c>
    </row>
    <row r="209">
      <c r="A209" s="82">
        <v>44650.0</v>
      </c>
      <c r="B209" s="82">
        <v>44650.0</v>
      </c>
      <c r="C209" s="66">
        <v>2382.0</v>
      </c>
      <c r="D209" s="66" t="s">
        <v>203</v>
      </c>
      <c r="E209" s="66">
        <v>0.0</v>
      </c>
      <c r="F209" s="66" t="s">
        <v>205</v>
      </c>
      <c r="G209" s="66">
        <f t="shared" si="9"/>
        <v>0</v>
      </c>
      <c r="H209" s="66">
        <v>26.1517</v>
      </c>
      <c r="I209" s="66">
        <v>35.35</v>
      </c>
      <c r="J209" s="66">
        <v>30.4801</v>
      </c>
      <c r="K209" s="81">
        <f t="shared" si="2"/>
        <v>9.1983</v>
      </c>
      <c r="L209" s="81">
        <f t="shared" si="3"/>
        <v>4.3284</v>
      </c>
    </row>
    <row r="210">
      <c r="A210" s="82">
        <v>44650.0</v>
      </c>
      <c r="B210" s="82">
        <v>44650.0</v>
      </c>
      <c r="C210" s="66">
        <v>2380.0</v>
      </c>
      <c r="D210" s="66" t="s">
        <v>203</v>
      </c>
      <c r="E210" s="66">
        <v>1.0</v>
      </c>
      <c r="F210" s="66" t="s">
        <v>204</v>
      </c>
      <c r="G210" s="66">
        <f t="shared" si="9"/>
        <v>0</v>
      </c>
      <c r="H210" s="66">
        <v>26.2828</v>
      </c>
      <c r="I210" s="66">
        <v>28.0345</v>
      </c>
      <c r="J210" s="66">
        <v>27.2429</v>
      </c>
      <c r="K210" s="81">
        <f t="shared" si="2"/>
        <v>1.7517</v>
      </c>
      <c r="L210" s="81">
        <f t="shared" si="3"/>
        <v>0.9601</v>
      </c>
    </row>
    <row r="211">
      <c r="A211" s="82">
        <v>44650.0</v>
      </c>
      <c r="B211" s="82">
        <v>44650.0</v>
      </c>
      <c r="C211" s="66">
        <v>2301.0</v>
      </c>
      <c r="D211" s="66" t="s">
        <v>203</v>
      </c>
      <c r="E211" s="66">
        <v>1.0</v>
      </c>
      <c r="F211" s="66" t="s">
        <v>204</v>
      </c>
      <c r="G211" s="66">
        <f t="shared" si="9"/>
        <v>0</v>
      </c>
      <c r="H211" s="66">
        <v>25.9276</v>
      </c>
      <c r="I211" s="66">
        <v>29.2492</v>
      </c>
      <c r="J211" s="66">
        <v>27.9163</v>
      </c>
      <c r="K211" s="81">
        <f t="shared" si="2"/>
        <v>3.3216</v>
      </c>
      <c r="L211" s="81">
        <f t="shared" si="3"/>
        <v>1.9887</v>
      </c>
    </row>
    <row r="212">
      <c r="A212" s="82">
        <v>44650.0</v>
      </c>
      <c r="B212" s="82">
        <v>44650.0</v>
      </c>
      <c r="C212" s="66">
        <v>2381.0</v>
      </c>
      <c r="D212" s="66" t="s">
        <v>203</v>
      </c>
      <c r="E212" s="66">
        <v>0.0</v>
      </c>
      <c r="F212" s="66" t="s">
        <v>205</v>
      </c>
      <c r="G212" s="66">
        <f t="shared" si="9"/>
        <v>0</v>
      </c>
      <c r="H212" s="66">
        <v>25.6438</v>
      </c>
      <c r="I212" s="66">
        <v>30.6729</v>
      </c>
      <c r="J212" s="66">
        <v>27.8425</v>
      </c>
      <c r="K212" s="81">
        <f t="shared" si="2"/>
        <v>5.0291</v>
      </c>
      <c r="L212" s="81">
        <f t="shared" si="3"/>
        <v>2.1987</v>
      </c>
    </row>
    <row r="213">
      <c r="A213" s="82">
        <v>44650.0</v>
      </c>
      <c r="B213" s="82">
        <v>44650.0</v>
      </c>
      <c r="C213" s="66">
        <v>2331.0</v>
      </c>
      <c r="D213" s="66" t="s">
        <v>203</v>
      </c>
      <c r="E213" s="66">
        <v>1.0</v>
      </c>
      <c r="F213" s="66" t="s">
        <v>204</v>
      </c>
      <c r="G213" s="66">
        <f t="shared" si="9"/>
        <v>0</v>
      </c>
      <c r="H213" s="66">
        <v>26.4426</v>
      </c>
      <c r="I213" s="66">
        <v>27.91</v>
      </c>
      <c r="J213" s="66">
        <v>27.2667</v>
      </c>
      <c r="K213" s="81">
        <f t="shared" si="2"/>
        <v>1.4674</v>
      </c>
      <c r="L213" s="81">
        <f t="shared" si="3"/>
        <v>0.8241</v>
      </c>
    </row>
    <row r="214">
      <c r="A214" s="82">
        <v>44650.0</v>
      </c>
      <c r="B214" s="82">
        <v>44650.0</v>
      </c>
      <c r="C214" s="66">
        <v>2377.0</v>
      </c>
      <c r="D214" s="66" t="s">
        <v>203</v>
      </c>
      <c r="E214" s="66">
        <v>1.0</v>
      </c>
      <c r="F214" s="66" t="s">
        <v>205</v>
      </c>
      <c r="G214" s="66">
        <f t="shared" si="9"/>
        <v>0</v>
      </c>
      <c r="H214" s="66">
        <v>26.258</v>
      </c>
      <c r="I214" s="66">
        <v>30.127</v>
      </c>
      <c r="J214" s="66">
        <v>28.7726</v>
      </c>
      <c r="K214" s="81">
        <f t="shared" si="2"/>
        <v>3.869</v>
      </c>
      <c r="L214" s="81">
        <f t="shared" si="3"/>
        <v>2.5146</v>
      </c>
    </row>
    <row r="215">
      <c r="A215" s="82">
        <v>44650.0</v>
      </c>
      <c r="B215" s="82">
        <v>44650.0</v>
      </c>
      <c r="C215" s="66">
        <v>2347.0</v>
      </c>
      <c r="D215" s="66" t="s">
        <v>203</v>
      </c>
      <c r="E215" s="66">
        <v>1.0</v>
      </c>
      <c r="F215" s="66" t="s">
        <v>204</v>
      </c>
      <c r="G215" s="66">
        <f t="shared" si="9"/>
        <v>0</v>
      </c>
      <c r="H215" s="66">
        <v>25.4573</v>
      </c>
      <c r="I215" s="66">
        <v>26.2432</v>
      </c>
      <c r="J215" s="66">
        <v>25.8986</v>
      </c>
      <c r="K215" s="81">
        <f t="shared" si="2"/>
        <v>0.7859</v>
      </c>
      <c r="L215" s="81">
        <f t="shared" si="3"/>
        <v>0.4413</v>
      </c>
    </row>
    <row r="216">
      <c r="A216" s="82">
        <v>44650.0</v>
      </c>
      <c r="B216" s="82">
        <v>44650.0</v>
      </c>
      <c r="C216" s="66">
        <v>2378.0</v>
      </c>
      <c r="D216" s="66" t="s">
        <v>203</v>
      </c>
      <c r="E216" s="66">
        <v>0.0</v>
      </c>
      <c r="F216" s="66" t="s">
        <v>204</v>
      </c>
      <c r="G216" s="66">
        <f t="shared" si="9"/>
        <v>0</v>
      </c>
      <c r="H216" s="66">
        <v>26.3482</v>
      </c>
      <c r="I216" s="66">
        <v>26.9736</v>
      </c>
      <c r="J216" s="66">
        <v>26.5797</v>
      </c>
      <c r="K216" s="81">
        <f t="shared" si="2"/>
        <v>0.6254</v>
      </c>
      <c r="L216" s="81">
        <f t="shared" si="3"/>
        <v>0.2315</v>
      </c>
    </row>
    <row r="217">
      <c r="A217" s="82">
        <v>44650.0</v>
      </c>
      <c r="B217" s="82">
        <v>44650.0</v>
      </c>
      <c r="C217" s="66">
        <v>2010.0</v>
      </c>
      <c r="D217" s="66" t="s">
        <v>203</v>
      </c>
      <c r="E217" s="66">
        <v>0.0</v>
      </c>
      <c r="F217" s="66" t="s">
        <v>205</v>
      </c>
      <c r="G217" s="66">
        <f t="shared" si="9"/>
        <v>0</v>
      </c>
      <c r="H217" s="66">
        <v>25.5471</v>
      </c>
      <c r="I217" s="66">
        <v>31.4654</v>
      </c>
      <c r="J217" s="66">
        <v>27.9843</v>
      </c>
      <c r="K217" s="81">
        <f t="shared" si="2"/>
        <v>5.9183</v>
      </c>
      <c r="L217" s="81">
        <f t="shared" si="3"/>
        <v>2.4372</v>
      </c>
    </row>
    <row r="218">
      <c r="A218" s="82">
        <v>44650.0</v>
      </c>
      <c r="B218" s="82">
        <v>44650.0</v>
      </c>
      <c r="C218" s="66">
        <v>2378.0</v>
      </c>
      <c r="D218" s="66" t="s">
        <v>203</v>
      </c>
      <c r="E218" s="66">
        <v>0.0</v>
      </c>
      <c r="F218" s="66" t="s">
        <v>205</v>
      </c>
      <c r="G218" s="66">
        <f t="shared" si="9"/>
        <v>0</v>
      </c>
      <c r="H218" s="66">
        <v>26.7036</v>
      </c>
      <c r="I218" s="66">
        <v>32.7202</v>
      </c>
      <c r="J218" s="66">
        <v>29.5988</v>
      </c>
      <c r="K218" s="81">
        <f t="shared" si="2"/>
        <v>6.0166</v>
      </c>
      <c r="L218" s="81">
        <f t="shared" si="3"/>
        <v>2.8952</v>
      </c>
    </row>
    <row r="219">
      <c r="A219" s="82">
        <v>44650.0</v>
      </c>
      <c r="B219" s="82">
        <v>44650.0</v>
      </c>
      <c r="C219" s="66">
        <v>2383.0</v>
      </c>
      <c r="D219" s="66" t="s">
        <v>203</v>
      </c>
      <c r="E219" s="66">
        <v>0.0</v>
      </c>
      <c r="F219" s="66" t="s">
        <v>204</v>
      </c>
      <c r="G219" s="66">
        <f t="shared" si="9"/>
        <v>0</v>
      </c>
      <c r="H219" s="66">
        <v>25.8817</v>
      </c>
      <c r="I219" s="66">
        <v>26.641</v>
      </c>
      <c r="J219" s="66">
        <v>26.1742</v>
      </c>
      <c r="K219" s="81">
        <f t="shared" si="2"/>
        <v>0.7593</v>
      </c>
      <c r="L219" s="81">
        <f t="shared" si="3"/>
        <v>0.2925</v>
      </c>
    </row>
    <row r="220">
      <c r="A220" s="82">
        <v>44650.0</v>
      </c>
      <c r="B220" s="82">
        <v>44650.0</v>
      </c>
      <c r="C220" s="66">
        <v>2380.0</v>
      </c>
      <c r="D220" s="66" t="s">
        <v>203</v>
      </c>
      <c r="E220" s="66">
        <v>0.0</v>
      </c>
      <c r="F220" s="66" t="s">
        <v>204</v>
      </c>
      <c r="G220" s="66">
        <f t="shared" si="9"/>
        <v>0</v>
      </c>
      <c r="H220" s="66">
        <v>25.6021</v>
      </c>
      <c r="I220" s="66">
        <v>26.0319</v>
      </c>
      <c r="J220" s="66">
        <v>25.6063</v>
      </c>
      <c r="K220" s="81">
        <f t="shared" si="2"/>
        <v>0.4298</v>
      </c>
      <c r="L220" s="81">
        <f t="shared" si="3"/>
        <v>0.0042</v>
      </c>
    </row>
    <row r="221">
      <c r="A221" s="82">
        <v>44650.0</v>
      </c>
      <c r="B221" s="82">
        <v>44650.0</v>
      </c>
      <c r="C221" s="66">
        <v>2384.0</v>
      </c>
      <c r="D221" s="66" t="s">
        <v>203</v>
      </c>
      <c r="E221" s="66">
        <v>1.0</v>
      </c>
      <c r="F221" s="66" t="s">
        <v>204</v>
      </c>
      <c r="G221" s="66">
        <f t="shared" si="9"/>
        <v>0</v>
      </c>
      <c r="H221" s="66">
        <v>26.3141</v>
      </c>
      <c r="I221" s="66">
        <v>26.9523</v>
      </c>
      <c r="J221" s="66">
        <v>26.8327</v>
      </c>
      <c r="K221" s="81">
        <f t="shared" si="2"/>
        <v>0.6382</v>
      </c>
      <c r="L221" s="81">
        <f t="shared" si="3"/>
        <v>0.5186</v>
      </c>
    </row>
    <row r="222">
      <c r="A222" s="82">
        <v>44650.0</v>
      </c>
      <c r="B222" s="82">
        <v>44650.0</v>
      </c>
      <c r="C222" s="66">
        <v>2345.0</v>
      </c>
      <c r="D222" s="66" t="s">
        <v>203</v>
      </c>
      <c r="E222" s="66">
        <v>0.0</v>
      </c>
      <c r="F222" s="66" t="s">
        <v>205</v>
      </c>
      <c r="G222" s="66">
        <f t="shared" si="9"/>
        <v>0</v>
      </c>
      <c r="H222" s="66">
        <v>26.2519</v>
      </c>
      <c r="I222" s="66">
        <v>26.2885</v>
      </c>
      <c r="J222" s="66">
        <v>26.2674</v>
      </c>
      <c r="K222" s="81">
        <f t="shared" si="2"/>
        <v>0.0366</v>
      </c>
      <c r="L222" s="81">
        <f t="shared" si="3"/>
        <v>0.0155</v>
      </c>
      <c r="N222" s="66" t="s">
        <v>208</v>
      </c>
    </row>
    <row r="223">
      <c r="A223" s="82">
        <v>44650.0</v>
      </c>
      <c r="B223" s="82">
        <v>44650.0</v>
      </c>
      <c r="C223" s="66">
        <v>2369.0</v>
      </c>
      <c r="D223" s="66" t="s">
        <v>203</v>
      </c>
      <c r="E223" s="66">
        <v>0.0</v>
      </c>
      <c r="F223" s="66" t="s">
        <v>204</v>
      </c>
      <c r="G223" s="66">
        <f t="shared" si="9"/>
        <v>0</v>
      </c>
      <c r="H223" s="66">
        <v>26.0811</v>
      </c>
      <c r="I223" s="66">
        <v>26.5731</v>
      </c>
      <c r="J223" s="66">
        <v>26.2584</v>
      </c>
      <c r="K223" s="81">
        <f t="shared" si="2"/>
        <v>0.492</v>
      </c>
      <c r="L223" s="81">
        <f t="shared" si="3"/>
        <v>0.1773</v>
      </c>
    </row>
    <row r="224">
      <c r="A224" s="82">
        <v>44650.0</v>
      </c>
      <c r="B224" s="82">
        <v>44650.0</v>
      </c>
      <c r="C224" s="66">
        <v>2331.0</v>
      </c>
      <c r="D224" s="66" t="s">
        <v>203</v>
      </c>
      <c r="E224" s="66">
        <v>1.0</v>
      </c>
      <c r="F224" s="66" t="s">
        <v>205</v>
      </c>
      <c r="G224" s="66">
        <f t="shared" si="9"/>
        <v>0</v>
      </c>
      <c r="H224" s="66">
        <v>26.2202</v>
      </c>
      <c r="I224" s="66">
        <v>33.5789</v>
      </c>
      <c r="J224" s="66">
        <v>30.1824</v>
      </c>
      <c r="K224" s="81">
        <f t="shared" si="2"/>
        <v>7.3587</v>
      </c>
      <c r="L224" s="81">
        <f t="shared" si="3"/>
        <v>3.9622</v>
      </c>
    </row>
    <row r="225">
      <c r="A225" s="82">
        <v>44650.0</v>
      </c>
      <c r="B225" s="82">
        <v>44650.0</v>
      </c>
      <c r="C225" s="66">
        <v>2010.0</v>
      </c>
      <c r="D225" s="66" t="s">
        <v>203</v>
      </c>
      <c r="E225" s="66">
        <v>0.0</v>
      </c>
      <c r="F225" s="66" t="s">
        <v>204</v>
      </c>
      <c r="G225" s="66">
        <f t="shared" si="9"/>
        <v>0</v>
      </c>
      <c r="H225" s="66">
        <v>25.98</v>
      </c>
      <c r="I225" s="66">
        <v>26.7261</v>
      </c>
      <c r="J225" s="66">
        <v>26.2236</v>
      </c>
      <c r="K225" s="81">
        <f t="shared" si="2"/>
        <v>0.7461</v>
      </c>
      <c r="L225" s="81">
        <f t="shared" si="3"/>
        <v>0.2436</v>
      </c>
    </row>
    <row r="226">
      <c r="A226" s="82">
        <v>44650.0</v>
      </c>
      <c r="B226" s="82">
        <v>44650.0</v>
      </c>
      <c r="C226" s="66">
        <v>2383.0</v>
      </c>
      <c r="D226" s="66" t="s">
        <v>203</v>
      </c>
      <c r="E226" s="66">
        <v>1.0</v>
      </c>
      <c r="F226" s="66" t="s">
        <v>204</v>
      </c>
      <c r="G226" s="66">
        <f t="shared" si="9"/>
        <v>0</v>
      </c>
      <c r="H226" s="66">
        <v>25.7459</v>
      </c>
      <c r="I226" s="66">
        <v>27.4124</v>
      </c>
      <c r="J226" s="66">
        <v>26.3603</v>
      </c>
      <c r="K226" s="81">
        <f t="shared" si="2"/>
        <v>1.6665</v>
      </c>
      <c r="L226" s="81">
        <f t="shared" si="3"/>
        <v>0.6144</v>
      </c>
    </row>
    <row r="227">
      <c r="A227" s="82">
        <v>44650.0</v>
      </c>
      <c r="B227" s="82">
        <v>44650.0</v>
      </c>
      <c r="C227" s="66">
        <v>2360.0</v>
      </c>
      <c r="D227" s="66" t="s">
        <v>203</v>
      </c>
      <c r="E227" s="66">
        <v>0.0</v>
      </c>
      <c r="F227" s="66" t="s">
        <v>205</v>
      </c>
      <c r="G227" s="66">
        <f t="shared" si="9"/>
        <v>0</v>
      </c>
      <c r="H227" s="66">
        <v>25.9234</v>
      </c>
      <c r="I227" s="66">
        <v>31.6506</v>
      </c>
      <c r="J227" s="66">
        <v>28.5804</v>
      </c>
      <c r="K227" s="81">
        <f t="shared" si="2"/>
        <v>5.7272</v>
      </c>
      <c r="L227" s="81">
        <f t="shared" si="3"/>
        <v>2.657</v>
      </c>
    </row>
    <row r="228">
      <c r="A228" s="82">
        <v>44650.0</v>
      </c>
      <c r="B228" s="82">
        <v>44650.0</v>
      </c>
      <c r="C228" s="66">
        <v>2376.0</v>
      </c>
      <c r="D228" s="66" t="s">
        <v>203</v>
      </c>
      <c r="E228" s="66">
        <v>1.0</v>
      </c>
      <c r="F228" s="66" t="s">
        <v>204</v>
      </c>
      <c r="G228" s="66">
        <f t="shared" si="9"/>
        <v>0</v>
      </c>
      <c r="H228" s="66">
        <v>26.0548</v>
      </c>
      <c r="I228" s="66">
        <v>27.4084</v>
      </c>
      <c r="J228" s="66">
        <v>26.5901</v>
      </c>
      <c r="K228" s="81">
        <f t="shared" si="2"/>
        <v>1.3536</v>
      </c>
      <c r="L228" s="81">
        <f t="shared" si="3"/>
        <v>0.5353</v>
      </c>
      <c r="N228" s="66" t="s">
        <v>209</v>
      </c>
    </row>
    <row r="229">
      <c r="A229" s="82">
        <v>44650.0</v>
      </c>
      <c r="B229" s="82">
        <v>44650.0</v>
      </c>
      <c r="C229" s="66">
        <v>2346.0</v>
      </c>
      <c r="D229" s="66" t="s">
        <v>203</v>
      </c>
      <c r="E229" s="66">
        <v>0.0</v>
      </c>
      <c r="F229" s="66" t="s">
        <v>204</v>
      </c>
      <c r="G229" s="66">
        <f t="shared" si="9"/>
        <v>0</v>
      </c>
      <c r="H229" s="66">
        <v>25.8494</v>
      </c>
      <c r="I229" s="66">
        <v>25.5561</v>
      </c>
      <c r="J229" s="66">
        <v>25.9071</v>
      </c>
      <c r="K229" s="81">
        <f t="shared" si="2"/>
        <v>-0.2933</v>
      </c>
      <c r="L229" s="81">
        <f t="shared" si="3"/>
        <v>0.0577</v>
      </c>
    </row>
    <row r="230">
      <c r="A230" s="82">
        <v>44650.0</v>
      </c>
      <c r="B230" s="82">
        <v>44650.0</v>
      </c>
      <c r="C230" s="66">
        <v>2346.0</v>
      </c>
      <c r="D230" s="66" t="s">
        <v>203</v>
      </c>
      <c r="E230" s="66">
        <v>1.0</v>
      </c>
      <c r="F230" s="66" t="s">
        <v>205</v>
      </c>
      <c r="G230" s="66">
        <f t="shared" si="9"/>
        <v>0</v>
      </c>
      <c r="H230" s="66">
        <v>25.7233</v>
      </c>
      <c r="I230" s="66">
        <v>26.1726</v>
      </c>
      <c r="J230" s="66">
        <v>25.9465</v>
      </c>
      <c r="K230" s="81">
        <f t="shared" si="2"/>
        <v>0.4493</v>
      </c>
      <c r="L230" s="81">
        <f t="shared" si="3"/>
        <v>0.2232</v>
      </c>
    </row>
    <row r="231">
      <c r="A231" s="82">
        <v>44650.0</v>
      </c>
      <c r="B231" s="82">
        <v>44650.0</v>
      </c>
      <c r="C231" s="66">
        <v>2346.0</v>
      </c>
      <c r="D231" s="66" t="s">
        <v>203</v>
      </c>
      <c r="E231" s="66">
        <v>1.0</v>
      </c>
      <c r="F231" s="66" t="s">
        <v>204</v>
      </c>
      <c r="G231" s="66">
        <f t="shared" si="9"/>
        <v>0</v>
      </c>
      <c r="H231" s="66">
        <v>26.5944</v>
      </c>
      <c r="I231" s="66">
        <v>27.476</v>
      </c>
      <c r="J231" s="66">
        <v>27.2611</v>
      </c>
      <c r="K231" s="81">
        <f t="shared" si="2"/>
        <v>0.8816</v>
      </c>
      <c r="L231" s="81">
        <f t="shared" si="3"/>
        <v>0.6667</v>
      </c>
    </row>
    <row r="232">
      <c r="A232" s="82">
        <v>44650.0</v>
      </c>
      <c r="B232" s="82">
        <v>44650.0</v>
      </c>
      <c r="C232" s="66">
        <v>2010.0</v>
      </c>
      <c r="D232" s="66" t="s">
        <v>203</v>
      </c>
      <c r="E232" s="66">
        <v>1.0</v>
      </c>
      <c r="F232" s="66" t="s">
        <v>204</v>
      </c>
      <c r="G232" s="66">
        <f t="shared" si="9"/>
        <v>0</v>
      </c>
      <c r="H232" s="66">
        <v>25.9486</v>
      </c>
      <c r="I232" s="66">
        <v>26.419</v>
      </c>
      <c r="J232" s="66">
        <v>26.135</v>
      </c>
      <c r="K232" s="81">
        <f t="shared" si="2"/>
        <v>0.4704</v>
      </c>
      <c r="L232" s="81">
        <f t="shared" si="3"/>
        <v>0.1864</v>
      </c>
    </row>
    <row r="233">
      <c r="A233" s="82">
        <v>44650.0</v>
      </c>
      <c r="B233" s="82">
        <v>44650.0</v>
      </c>
      <c r="C233" s="66">
        <v>2384.0</v>
      </c>
      <c r="D233" s="66" t="s">
        <v>203</v>
      </c>
      <c r="E233" s="66">
        <v>0.0</v>
      </c>
      <c r="F233" s="66" t="s">
        <v>204</v>
      </c>
      <c r="G233" s="66">
        <f t="shared" si="9"/>
        <v>0</v>
      </c>
      <c r="H233" s="66">
        <v>26.1664</v>
      </c>
      <c r="I233" s="66">
        <v>26.2832</v>
      </c>
      <c r="J233" s="66">
        <v>26.248</v>
      </c>
      <c r="K233" s="81">
        <f t="shared" si="2"/>
        <v>0.1168</v>
      </c>
      <c r="L233" s="81">
        <f t="shared" si="3"/>
        <v>0.0816</v>
      </c>
    </row>
    <row r="234">
      <c r="A234" s="82">
        <v>44650.0</v>
      </c>
      <c r="B234" s="82">
        <v>44650.0</v>
      </c>
      <c r="C234" s="66">
        <v>2384.0</v>
      </c>
      <c r="D234" s="66" t="s">
        <v>203</v>
      </c>
      <c r="E234" s="66">
        <v>0.0</v>
      </c>
      <c r="F234" s="66" t="s">
        <v>205</v>
      </c>
      <c r="G234" s="66">
        <f t="shared" si="9"/>
        <v>0</v>
      </c>
      <c r="H234" s="66">
        <v>26.1053</v>
      </c>
      <c r="I234" s="66">
        <v>29.6582</v>
      </c>
      <c r="J234" s="66">
        <v>27.664</v>
      </c>
      <c r="K234" s="81">
        <f t="shared" si="2"/>
        <v>3.5529</v>
      </c>
      <c r="L234" s="81">
        <f t="shared" si="3"/>
        <v>1.5587</v>
      </c>
    </row>
    <row r="235">
      <c r="A235" s="82">
        <v>44650.0</v>
      </c>
      <c r="B235" s="82">
        <v>44650.0</v>
      </c>
      <c r="C235" s="66">
        <v>2347.0</v>
      </c>
      <c r="D235" s="66" t="s">
        <v>203</v>
      </c>
      <c r="E235" s="66">
        <v>0.0</v>
      </c>
      <c r="F235" s="66" t="s">
        <v>204</v>
      </c>
      <c r="G235" s="66">
        <f t="shared" si="9"/>
        <v>0</v>
      </c>
      <c r="H235" s="66">
        <v>26.2544</v>
      </c>
      <c r="I235" s="66">
        <v>27.0829</v>
      </c>
      <c r="J235" s="66">
        <v>26.5148</v>
      </c>
      <c r="K235" s="81">
        <f t="shared" si="2"/>
        <v>0.8285</v>
      </c>
      <c r="L235" s="81">
        <f t="shared" si="3"/>
        <v>0.2604</v>
      </c>
    </row>
    <row r="236">
      <c r="A236" s="82">
        <v>44650.0</v>
      </c>
      <c r="B236" s="82">
        <v>44650.0</v>
      </c>
      <c r="C236" s="66">
        <v>2381.0</v>
      </c>
      <c r="D236" s="66" t="s">
        <v>203</v>
      </c>
      <c r="E236" s="66">
        <v>1.0</v>
      </c>
      <c r="F236" s="66" t="s">
        <v>204</v>
      </c>
      <c r="G236" s="66">
        <f t="shared" si="9"/>
        <v>0</v>
      </c>
      <c r="H236" s="66">
        <v>26.3275</v>
      </c>
      <c r="I236" s="66">
        <v>26.2529</v>
      </c>
      <c r="J236" s="66">
        <v>26.4862</v>
      </c>
      <c r="K236" s="81">
        <f t="shared" si="2"/>
        <v>-0.0746</v>
      </c>
      <c r="L236" s="81">
        <f t="shared" si="3"/>
        <v>0.1587</v>
      </c>
    </row>
    <row r="237">
      <c r="A237" s="82">
        <v>44650.0</v>
      </c>
      <c r="B237" s="82">
        <v>44650.0</v>
      </c>
      <c r="C237" s="66">
        <v>2345.0</v>
      </c>
      <c r="D237" s="66" t="s">
        <v>203</v>
      </c>
      <c r="E237" s="66">
        <v>1.0</v>
      </c>
      <c r="F237" s="66" t="s">
        <v>204</v>
      </c>
      <c r="G237" s="66">
        <f t="shared" si="9"/>
        <v>0</v>
      </c>
      <c r="H237" s="66">
        <v>26.6145</v>
      </c>
      <c r="I237" s="66">
        <v>27.894</v>
      </c>
      <c r="J237" s="66">
        <v>27.3226</v>
      </c>
      <c r="K237" s="81">
        <f t="shared" si="2"/>
        <v>1.2795</v>
      </c>
      <c r="L237" s="81">
        <f t="shared" si="3"/>
        <v>0.7081</v>
      </c>
    </row>
    <row r="238">
      <c r="A238" s="82">
        <v>44650.0</v>
      </c>
      <c r="B238" s="82">
        <v>44650.0</v>
      </c>
      <c r="C238" s="66">
        <v>2382.0</v>
      </c>
      <c r="D238" s="66" t="s">
        <v>203</v>
      </c>
      <c r="E238" s="66">
        <v>1.0</v>
      </c>
      <c r="F238" s="66" t="s">
        <v>204</v>
      </c>
      <c r="G238" s="66">
        <f t="shared" si="9"/>
        <v>0</v>
      </c>
      <c r="H238" s="66">
        <v>26.0374</v>
      </c>
      <c r="I238" s="66">
        <v>26.9875</v>
      </c>
      <c r="J238" s="66">
        <v>26.4651</v>
      </c>
      <c r="K238" s="81">
        <f t="shared" si="2"/>
        <v>0.9501</v>
      </c>
      <c r="L238" s="81">
        <f t="shared" si="3"/>
        <v>0.4277</v>
      </c>
    </row>
    <row r="239">
      <c r="A239" s="82">
        <v>44650.0</v>
      </c>
      <c r="B239" s="82">
        <v>44650.0</v>
      </c>
      <c r="C239" s="66">
        <v>2369.0</v>
      </c>
      <c r="D239" s="66" t="s">
        <v>203</v>
      </c>
      <c r="E239" s="66">
        <v>0.0</v>
      </c>
      <c r="F239" s="66" t="s">
        <v>205</v>
      </c>
      <c r="G239" s="66">
        <f t="shared" si="9"/>
        <v>0</v>
      </c>
      <c r="H239" s="66">
        <v>26.1613</v>
      </c>
      <c r="I239" s="66">
        <v>33.6503</v>
      </c>
      <c r="J239" s="66">
        <v>29.3577</v>
      </c>
      <c r="K239" s="81">
        <f t="shared" si="2"/>
        <v>7.489</v>
      </c>
      <c r="L239" s="81">
        <f t="shared" si="3"/>
        <v>3.1964</v>
      </c>
    </row>
    <row r="240">
      <c r="A240" s="82">
        <v>44650.0</v>
      </c>
      <c r="B240" s="82">
        <v>44650.0</v>
      </c>
      <c r="C240" s="66">
        <v>2354.0</v>
      </c>
      <c r="D240" s="66" t="s">
        <v>203</v>
      </c>
      <c r="E240" s="66">
        <v>1.0</v>
      </c>
      <c r="F240" s="66" t="s">
        <v>205</v>
      </c>
      <c r="G240" s="66">
        <f t="shared" si="9"/>
        <v>0</v>
      </c>
      <c r="H240" s="66">
        <v>26.1545</v>
      </c>
      <c r="I240" s="66">
        <v>27.108</v>
      </c>
      <c r="J240" s="66">
        <v>26.9366</v>
      </c>
      <c r="K240" s="81">
        <f t="shared" si="2"/>
        <v>0.9535</v>
      </c>
      <c r="L240" s="81">
        <f t="shared" si="3"/>
        <v>0.7821</v>
      </c>
    </row>
    <row r="241">
      <c r="A241" s="82">
        <v>44650.0</v>
      </c>
      <c r="B241" s="82">
        <v>44650.0</v>
      </c>
      <c r="C241" s="66">
        <v>2371.0</v>
      </c>
      <c r="D241" s="66" t="s">
        <v>203</v>
      </c>
      <c r="E241" s="66">
        <v>0.0</v>
      </c>
      <c r="F241" s="66" t="s">
        <v>205</v>
      </c>
      <c r="G241" s="66">
        <f t="shared" si="9"/>
        <v>0</v>
      </c>
      <c r="H241" s="66">
        <v>26.3058</v>
      </c>
      <c r="I241" s="66">
        <v>30.5022</v>
      </c>
      <c r="J241" s="66">
        <v>27.5725</v>
      </c>
      <c r="K241" s="81">
        <f t="shared" si="2"/>
        <v>4.1964</v>
      </c>
      <c r="L241" s="81">
        <f t="shared" si="3"/>
        <v>1.2667</v>
      </c>
    </row>
    <row r="242">
      <c r="A242" s="82">
        <v>44650.0</v>
      </c>
      <c r="B242" s="82">
        <v>44650.0</v>
      </c>
      <c r="C242" s="66">
        <v>2375.0</v>
      </c>
      <c r="D242" s="66" t="s">
        <v>203</v>
      </c>
      <c r="E242" s="66">
        <v>0.0</v>
      </c>
      <c r="F242" s="66" t="s">
        <v>204</v>
      </c>
      <c r="G242" s="66">
        <f t="shared" si="9"/>
        <v>0</v>
      </c>
      <c r="H242" s="66">
        <v>26.3379</v>
      </c>
      <c r="I242" s="66">
        <v>27.0124</v>
      </c>
      <c r="J242" s="66">
        <v>26.6872</v>
      </c>
      <c r="K242" s="81">
        <f t="shared" si="2"/>
        <v>0.6745</v>
      </c>
      <c r="L242" s="81">
        <f t="shared" si="3"/>
        <v>0.3493</v>
      </c>
    </row>
    <row r="243">
      <c r="A243" s="82">
        <v>44650.0</v>
      </c>
      <c r="B243" s="82">
        <v>44650.0</v>
      </c>
      <c r="C243" s="66">
        <v>2371.0</v>
      </c>
      <c r="D243" s="66" t="s">
        <v>203</v>
      </c>
      <c r="E243" s="66">
        <v>1.0</v>
      </c>
      <c r="F243" s="66" t="s">
        <v>204</v>
      </c>
      <c r="G243" s="66">
        <f t="shared" si="9"/>
        <v>0</v>
      </c>
      <c r="H243" s="66">
        <v>15.0902</v>
      </c>
      <c r="I243" s="66">
        <v>16.0393</v>
      </c>
      <c r="J243" s="66">
        <v>15.3919</v>
      </c>
      <c r="K243" s="81">
        <f t="shared" si="2"/>
        <v>0.9491</v>
      </c>
      <c r="L243" s="81">
        <f t="shared" si="3"/>
        <v>0.3017</v>
      </c>
    </row>
    <row r="244">
      <c r="A244" s="82">
        <v>44650.0</v>
      </c>
      <c r="B244" s="82">
        <v>44650.0</v>
      </c>
      <c r="C244" s="66">
        <v>2347.0</v>
      </c>
      <c r="D244" s="66" t="s">
        <v>203</v>
      </c>
      <c r="E244" s="66">
        <v>0.0</v>
      </c>
      <c r="F244" s="66" t="s">
        <v>205</v>
      </c>
      <c r="G244" s="66">
        <f t="shared" si="9"/>
        <v>0</v>
      </c>
      <c r="H244" s="66">
        <v>25.9683</v>
      </c>
      <c r="I244" s="66">
        <v>33.5063</v>
      </c>
      <c r="J244" s="66">
        <v>28.8823</v>
      </c>
      <c r="K244" s="81">
        <f t="shared" si="2"/>
        <v>7.538</v>
      </c>
      <c r="L244" s="81">
        <f t="shared" si="3"/>
        <v>2.914</v>
      </c>
    </row>
    <row r="245">
      <c r="A245" s="82">
        <v>44650.0</v>
      </c>
      <c r="B245" s="82">
        <v>44650.0</v>
      </c>
      <c r="C245" s="66">
        <v>2376.0</v>
      </c>
      <c r="D245" s="66" t="s">
        <v>203</v>
      </c>
      <c r="E245" s="66">
        <v>1.0</v>
      </c>
      <c r="F245" s="66" t="s">
        <v>205</v>
      </c>
      <c r="G245" s="66">
        <f t="shared" si="9"/>
        <v>0</v>
      </c>
      <c r="H245" s="66">
        <v>25.5168</v>
      </c>
      <c r="I245" s="66">
        <v>32.3589</v>
      </c>
      <c r="J245" s="66">
        <v>29.1891</v>
      </c>
      <c r="K245" s="81">
        <f t="shared" si="2"/>
        <v>6.8421</v>
      </c>
      <c r="L245" s="81">
        <f t="shared" si="3"/>
        <v>3.6723</v>
      </c>
    </row>
    <row r="246">
      <c r="A246" s="82">
        <v>44650.0</v>
      </c>
      <c r="B246" s="82">
        <v>44650.0</v>
      </c>
      <c r="C246" s="66">
        <v>2383.0</v>
      </c>
      <c r="D246" s="66" t="s">
        <v>203</v>
      </c>
      <c r="E246" s="66">
        <v>0.0</v>
      </c>
      <c r="F246" s="66" t="s">
        <v>205</v>
      </c>
      <c r="G246" s="66">
        <f t="shared" si="9"/>
        <v>0</v>
      </c>
      <c r="H246" s="66">
        <v>25.7952</v>
      </c>
      <c r="I246" s="66">
        <v>32.8724</v>
      </c>
      <c r="J246" s="66">
        <v>29.1289</v>
      </c>
      <c r="K246" s="81">
        <f t="shared" si="2"/>
        <v>7.0772</v>
      </c>
      <c r="L246" s="81">
        <f t="shared" si="3"/>
        <v>3.3337</v>
      </c>
    </row>
    <row r="247">
      <c r="A247" s="82">
        <v>44650.0</v>
      </c>
      <c r="B247" s="82">
        <v>44650.0</v>
      </c>
      <c r="C247" s="66">
        <v>2346.0</v>
      </c>
      <c r="D247" s="66" t="s">
        <v>203</v>
      </c>
      <c r="E247" s="66">
        <v>0.0</v>
      </c>
      <c r="F247" s="66" t="s">
        <v>205</v>
      </c>
      <c r="G247" s="66">
        <f t="shared" si="9"/>
        <v>0</v>
      </c>
      <c r="H247" s="66">
        <v>25.5681</v>
      </c>
      <c r="I247" s="66">
        <v>28.7672</v>
      </c>
      <c r="J247" s="66">
        <v>26.6059</v>
      </c>
      <c r="K247" s="81">
        <f t="shared" si="2"/>
        <v>3.1991</v>
      </c>
      <c r="L247" s="81">
        <f t="shared" si="3"/>
        <v>1.0378</v>
      </c>
    </row>
    <row r="248">
      <c r="A248" s="82">
        <v>44650.0</v>
      </c>
      <c r="B248" s="82">
        <v>44650.0</v>
      </c>
      <c r="C248" s="66">
        <v>2331.0</v>
      </c>
      <c r="D248" s="66" t="s">
        <v>203</v>
      </c>
      <c r="E248" s="66">
        <v>0.0</v>
      </c>
      <c r="F248" s="66" t="s">
        <v>205</v>
      </c>
      <c r="G248" s="66">
        <f t="shared" si="9"/>
        <v>0</v>
      </c>
      <c r="H248" s="66">
        <v>26.2116</v>
      </c>
      <c r="I248" s="66">
        <v>26.7854</v>
      </c>
      <c r="J248" s="66">
        <v>26.5005</v>
      </c>
      <c r="K248" s="81">
        <f t="shared" si="2"/>
        <v>0.5738</v>
      </c>
      <c r="L248" s="81">
        <f t="shared" si="3"/>
        <v>0.2889</v>
      </c>
    </row>
    <row r="249">
      <c r="A249" s="82">
        <v>44650.0</v>
      </c>
      <c r="B249" s="82">
        <v>44650.0</v>
      </c>
      <c r="C249" s="66">
        <v>2381.0</v>
      </c>
      <c r="D249" s="66" t="s">
        <v>203</v>
      </c>
      <c r="E249" s="66">
        <v>0.0</v>
      </c>
      <c r="F249" s="66" t="s">
        <v>204</v>
      </c>
      <c r="G249" s="66">
        <f t="shared" si="9"/>
        <v>0</v>
      </c>
      <c r="H249" s="66">
        <v>26.4192</v>
      </c>
      <c r="I249" s="66">
        <v>27.1583</v>
      </c>
      <c r="J249" s="66">
        <v>26.7586</v>
      </c>
      <c r="K249" s="81">
        <f t="shared" si="2"/>
        <v>0.7391</v>
      </c>
      <c r="L249" s="81">
        <f t="shared" si="3"/>
        <v>0.3394</v>
      </c>
    </row>
    <row r="250">
      <c r="A250" s="82">
        <v>44650.0</v>
      </c>
      <c r="B250" s="82">
        <v>44650.0</v>
      </c>
      <c r="C250" s="66">
        <v>2343.0</v>
      </c>
      <c r="D250" s="66" t="s">
        <v>203</v>
      </c>
      <c r="E250" s="66">
        <v>0.0</v>
      </c>
      <c r="F250" s="66" t="s">
        <v>205</v>
      </c>
      <c r="G250" s="66">
        <f t="shared" si="9"/>
        <v>0</v>
      </c>
      <c r="H250" s="66">
        <v>25.5568</v>
      </c>
      <c r="I250" s="66">
        <v>32.886</v>
      </c>
      <c r="J250" s="66">
        <v>28.4065</v>
      </c>
      <c r="K250" s="81">
        <f t="shared" si="2"/>
        <v>7.3292</v>
      </c>
      <c r="L250" s="81">
        <f t="shared" si="3"/>
        <v>2.8497</v>
      </c>
    </row>
    <row r="251">
      <c r="A251" s="82">
        <v>44650.0</v>
      </c>
      <c r="B251" s="82">
        <v>44650.0</v>
      </c>
      <c r="C251" s="66">
        <v>2375.0</v>
      </c>
      <c r="D251" s="66" t="s">
        <v>203</v>
      </c>
      <c r="E251" s="66">
        <v>0.0</v>
      </c>
      <c r="F251" s="66" t="s">
        <v>205</v>
      </c>
      <c r="G251" s="66">
        <f t="shared" si="9"/>
        <v>0</v>
      </c>
      <c r="H251" s="66">
        <v>26.4975</v>
      </c>
      <c r="I251" s="66">
        <v>31.1888</v>
      </c>
      <c r="J251" s="66">
        <v>28.2615</v>
      </c>
      <c r="K251" s="81">
        <f t="shared" si="2"/>
        <v>4.6913</v>
      </c>
      <c r="L251" s="81">
        <f t="shared" si="3"/>
        <v>1.764</v>
      </c>
    </row>
    <row r="252">
      <c r="A252" s="82">
        <v>44650.0</v>
      </c>
      <c r="B252" s="82">
        <v>44650.0</v>
      </c>
      <c r="C252" s="66">
        <v>2367.0</v>
      </c>
      <c r="D252" s="66" t="s">
        <v>203</v>
      </c>
      <c r="E252" s="66">
        <v>0.0</v>
      </c>
      <c r="F252" s="66" t="s">
        <v>205</v>
      </c>
      <c r="G252" s="66">
        <f t="shared" si="9"/>
        <v>0</v>
      </c>
      <c r="H252" s="66">
        <v>26.3948</v>
      </c>
      <c r="I252" s="66">
        <v>29.4621</v>
      </c>
      <c r="J252" s="66">
        <v>27.6869</v>
      </c>
      <c r="K252" s="81">
        <f t="shared" si="2"/>
        <v>3.0673</v>
      </c>
      <c r="L252" s="81">
        <f t="shared" si="3"/>
        <v>1.2921</v>
      </c>
    </row>
    <row r="253">
      <c r="A253" s="82">
        <v>44650.0</v>
      </c>
      <c r="B253" s="82">
        <v>44650.0</v>
      </c>
      <c r="C253" s="66">
        <v>2354.0</v>
      </c>
      <c r="D253" s="66" t="s">
        <v>203</v>
      </c>
      <c r="E253" s="66">
        <v>1.0</v>
      </c>
      <c r="F253" s="66" t="s">
        <v>204</v>
      </c>
      <c r="G253" s="66">
        <f t="shared" si="9"/>
        <v>0</v>
      </c>
      <c r="H253" s="66">
        <v>26.7278</v>
      </c>
      <c r="I253" s="66">
        <v>26.95</v>
      </c>
      <c r="J253" s="66">
        <v>26.8457</v>
      </c>
      <c r="K253" s="81">
        <f t="shared" si="2"/>
        <v>0.2222</v>
      </c>
      <c r="L253" s="81">
        <f t="shared" si="3"/>
        <v>0.1179</v>
      </c>
    </row>
    <row r="254">
      <c r="A254" s="82">
        <v>44650.0</v>
      </c>
      <c r="B254" s="82">
        <v>44650.0</v>
      </c>
      <c r="C254" s="66">
        <v>2331.0</v>
      </c>
      <c r="D254" s="66" t="s">
        <v>203</v>
      </c>
      <c r="E254" s="66">
        <v>0.0</v>
      </c>
      <c r="F254" s="66" t="s">
        <v>204</v>
      </c>
      <c r="G254" s="66">
        <f t="shared" si="9"/>
        <v>0</v>
      </c>
      <c r="H254" s="66">
        <v>26.6148</v>
      </c>
      <c r="I254" s="66">
        <v>26.7357</v>
      </c>
      <c r="J254" s="66">
        <v>26.688</v>
      </c>
      <c r="K254" s="81">
        <f t="shared" si="2"/>
        <v>0.1209</v>
      </c>
      <c r="L254" s="81">
        <f t="shared" si="3"/>
        <v>0.0732</v>
      </c>
    </row>
    <row r="255">
      <c r="A255" s="82">
        <v>44650.0</v>
      </c>
      <c r="B255" s="82">
        <v>44650.0</v>
      </c>
      <c r="C255" s="66">
        <v>2352.0</v>
      </c>
      <c r="D255" s="66" t="s">
        <v>203</v>
      </c>
      <c r="E255" s="66">
        <v>0.0</v>
      </c>
      <c r="F255" s="66" t="s">
        <v>205</v>
      </c>
      <c r="G255" s="66">
        <f t="shared" si="9"/>
        <v>0</v>
      </c>
      <c r="H255" s="66">
        <v>25.9237</v>
      </c>
      <c r="I255" s="66">
        <v>26.7641</v>
      </c>
      <c r="J255" s="66">
        <v>26.0517</v>
      </c>
      <c r="K255" s="81">
        <f t="shared" si="2"/>
        <v>0.8404</v>
      </c>
      <c r="L255" s="81">
        <f t="shared" si="3"/>
        <v>0.128</v>
      </c>
    </row>
    <row r="256">
      <c r="A256" s="82">
        <v>44650.0</v>
      </c>
      <c r="B256" s="82">
        <v>44650.0</v>
      </c>
      <c r="C256" s="66">
        <v>2379.0</v>
      </c>
      <c r="D256" s="66" t="s">
        <v>203</v>
      </c>
      <c r="E256" s="66">
        <v>1.0</v>
      </c>
      <c r="F256" s="66" t="s">
        <v>204</v>
      </c>
      <c r="G256" s="66">
        <f t="shared" si="9"/>
        <v>0</v>
      </c>
      <c r="H256" s="66">
        <v>26.6387</v>
      </c>
      <c r="I256" s="66">
        <v>26.2829</v>
      </c>
      <c r="J256" s="66">
        <v>26.9043</v>
      </c>
      <c r="K256" s="81">
        <f t="shared" si="2"/>
        <v>-0.3558</v>
      </c>
      <c r="L256" s="81">
        <f t="shared" si="3"/>
        <v>0.2656</v>
      </c>
    </row>
    <row r="257">
      <c r="A257" s="82">
        <v>44650.0</v>
      </c>
      <c r="B257" s="82">
        <v>44650.0</v>
      </c>
      <c r="C257" s="66">
        <v>2365.0</v>
      </c>
      <c r="D257" s="66" t="s">
        <v>203</v>
      </c>
      <c r="E257" s="66">
        <v>0.0</v>
      </c>
      <c r="F257" s="66" t="s">
        <v>204</v>
      </c>
      <c r="G257" s="66">
        <f t="shared" si="9"/>
        <v>0</v>
      </c>
      <c r="H257" s="66">
        <v>26.4398</v>
      </c>
      <c r="I257" s="66">
        <v>27.0599</v>
      </c>
      <c r="J257" s="66">
        <v>26.5551</v>
      </c>
      <c r="K257" s="81">
        <f t="shared" si="2"/>
        <v>0.6201</v>
      </c>
      <c r="L257" s="81">
        <f t="shared" si="3"/>
        <v>0.1153</v>
      </c>
    </row>
    <row r="258">
      <c r="A258" s="82">
        <v>44650.0</v>
      </c>
      <c r="B258" s="82">
        <v>44650.0</v>
      </c>
      <c r="C258" s="66">
        <v>2375.0</v>
      </c>
      <c r="D258" s="66" t="s">
        <v>203</v>
      </c>
      <c r="E258" s="66">
        <v>1.0</v>
      </c>
      <c r="F258" s="66" t="s">
        <v>204</v>
      </c>
      <c r="G258" s="66">
        <f t="shared" si="9"/>
        <v>0</v>
      </c>
      <c r="H258" s="66">
        <v>14.8744</v>
      </c>
      <c r="I258" s="66">
        <v>15.871</v>
      </c>
      <c r="J258" s="66">
        <v>15.0591</v>
      </c>
      <c r="K258" s="81">
        <f t="shared" si="2"/>
        <v>0.9966</v>
      </c>
      <c r="L258" s="81">
        <f t="shared" si="3"/>
        <v>0.1847</v>
      </c>
    </row>
    <row r="259">
      <c r="A259" s="82">
        <v>44650.0</v>
      </c>
      <c r="B259" s="82">
        <v>44650.0</v>
      </c>
      <c r="C259" s="66">
        <v>2380.0</v>
      </c>
      <c r="D259" s="66" t="s">
        <v>203</v>
      </c>
      <c r="E259" s="66">
        <v>1.0</v>
      </c>
      <c r="F259" s="66" t="s">
        <v>205</v>
      </c>
      <c r="G259" s="66">
        <f t="shared" si="9"/>
        <v>0</v>
      </c>
      <c r="H259" s="66">
        <v>26.0345</v>
      </c>
      <c r="I259" s="66">
        <v>34.4388</v>
      </c>
      <c r="J259" s="66">
        <v>30.7934</v>
      </c>
      <c r="K259" s="81">
        <f t="shared" si="2"/>
        <v>8.4043</v>
      </c>
      <c r="L259" s="81">
        <f t="shared" si="3"/>
        <v>4.7589</v>
      </c>
    </row>
    <row r="260">
      <c r="A260" s="82">
        <v>44650.0</v>
      </c>
      <c r="B260" s="82">
        <v>44650.0</v>
      </c>
      <c r="C260" s="66">
        <v>2370.0</v>
      </c>
      <c r="D260" s="66" t="s">
        <v>203</v>
      </c>
      <c r="E260" s="66">
        <v>0.0</v>
      </c>
      <c r="F260" s="66" t="s">
        <v>205</v>
      </c>
      <c r="G260" s="66">
        <f t="shared" si="9"/>
        <v>0</v>
      </c>
      <c r="H260" s="66">
        <v>26.0505</v>
      </c>
      <c r="I260" s="66">
        <v>27.9719</v>
      </c>
      <c r="J260" s="66">
        <v>26.8732</v>
      </c>
      <c r="K260" s="81">
        <f t="shared" si="2"/>
        <v>1.9214</v>
      </c>
      <c r="L260" s="81">
        <f t="shared" si="3"/>
        <v>0.8227</v>
      </c>
    </row>
    <row r="261">
      <c r="A261" s="82">
        <v>44650.0</v>
      </c>
      <c r="B261" s="82">
        <v>44650.0</v>
      </c>
      <c r="C261" s="66">
        <v>2365.0</v>
      </c>
      <c r="D261" s="66" t="s">
        <v>203</v>
      </c>
      <c r="E261" s="66">
        <v>1.0</v>
      </c>
      <c r="F261" s="66" t="s">
        <v>204</v>
      </c>
      <c r="G261" s="66">
        <f t="shared" si="9"/>
        <v>0</v>
      </c>
      <c r="H261" s="66">
        <v>26.3475</v>
      </c>
      <c r="I261" s="66">
        <v>27.494</v>
      </c>
      <c r="J261" s="66">
        <v>26.9379</v>
      </c>
      <c r="K261" s="81">
        <f t="shared" si="2"/>
        <v>1.1465</v>
      </c>
      <c r="L261" s="81">
        <f t="shared" si="3"/>
        <v>0.5904</v>
      </c>
    </row>
    <row r="262">
      <c r="A262" s="82">
        <v>44650.0</v>
      </c>
      <c r="B262" s="82">
        <v>44650.0</v>
      </c>
      <c r="C262" s="66">
        <v>2370.0</v>
      </c>
      <c r="D262" s="66" t="s">
        <v>203</v>
      </c>
      <c r="E262" s="66">
        <v>1.0</v>
      </c>
      <c r="F262" s="66" t="s">
        <v>204</v>
      </c>
      <c r="G262" s="66">
        <f t="shared" si="9"/>
        <v>0</v>
      </c>
      <c r="H262" s="66">
        <v>25.5033</v>
      </c>
      <c r="I262" s="66">
        <v>27.3693</v>
      </c>
      <c r="J262" s="66">
        <v>26.2127</v>
      </c>
      <c r="K262" s="81">
        <f t="shared" si="2"/>
        <v>1.866</v>
      </c>
      <c r="L262" s="81">
        <f t="shared" si="3"/>
        <v>0.7094</v>
      </c>
    </row>
    <row r="263">
      <c r="A263" s="82">
        <v>44650.0</v>
      </c>
      <c r="B263" s="82">
        <v>44650.0</v>
      </c>
      <c r="C263" s="66">
        <v>2372.0</v>
      </c>
      <c r="D263" s="66" t="s">
        <v>203</v>
      </c>
      <c r="E263" s="66">
        <v>0.0</v>
      </c>
      <c r="F263" s="66" t="s">
        <v>204</v>
      </c>
      <c r="G263" s="66">
        <f t="shared" si="9"/>
        <v>0</v>
      </c>
      <c r="H263" s="66">
        <v>25.9879</v>
      </c>
      <c r="I263" s="66">
        <v>27.0092</v>
      </c>
      <c r="J263" s="66">
        <v>26.2128</v>
      </c>
      <c r="K263" s="81">
        <f t="shared" si="2"/>
        <v>1.0213</v>
      </c>
      <c r="L263" s="81">
        <f t="shared" si="3"/>
        <v>0.2249</v>
      </c>
    </row>
    <row r="264">
      <c r="A264" s="82">
        <v>44650.0</v>
      </c>
      <c r="B264" s="82">
        <v>44650.0</v>
      </c>
      <c r="C264" s="66">
        <v>2345.0</v>
      </c>
      <c r="D264" s="66" t="s">
        <v>203</v>
      </c>
      <c r="E264" s="66">
        <v>1.0</v>
      </c>
      <c r="F264" s="66" t="s">
        <v>205</v>
      </c>
      <c r="G264" s="66">
        <f t="shared" si="9"/>
        <v>0</v>
      </c>
      <c r="H264" s="66">
        <v>25.9538</v>
      </c>
      <c r="I264" s="66">
        <v>34.1041</v>
      </c>
      <c r="J264" s="66">
        <v>30.5172</v>
      </c>
      <c r="K264" s="81">
        <f t="shared" si="2"/>
        <v>8.1503</v>
      </c>
      <c r="L264" s="81">
        <f t="shared" si="3"/>
        <v>4.5634</v>
      </c>
    </row>
    <row r="265">
      <c r="A265" s="82">
        <v>44650.0</v>
      </c>
      <c r="B265" s="82">
        <v>44650.0</v>
      </c>
      <c r="C265" s="66">
        <v>2365.0</v>
      </c>
      <c r="D265" s="66" t="s">
        <v>203</v>
      </c>
      <c r="E265" s="66">
        <v>0.0</v>
      </c>
      <c r="F265" s="66" t="s">
        <v>205</v>
      </c>
      <c r="G265" s="66">
        <f t="shared" si="9"/>
        <v>0</v>
      </c>
      <c r="H265" s="66">
        <v>26.139</v>
      </c>
      <c r="I265" s="66">
        <v>30.5764</v>
      </c>
      <c r="J265" s="66">
        <v>28.0701</v>
      </c>
      <c r="K265" s="81">
        <f t="shared" si="2"/>
        <v>4.4374</v>
      </c>
      <c r="L265" s="81">
        <f t="shared" si="3"/>
        <v>1.9311</v>
      </c>
    </row>
    <row r="266">
      <c r="A266" s="82">
        <v>44650.0</v>
      </c>
      <c r="B266" s="82">
        <v>44650.0</v>
      </c>
      <c r="C266" s="66">
        <v>2372.0</v>
      </c>
      <c r="D266" s="66" t="s">
        <v>203</v>
      </c>
      <c r="E266" s="66">
        <v>1.0</v>
      </c>
      <c r="F266" s="66" t="s">
        <v>204</v>
      </c>
      <c r="G266" s="66">
        <f t="shared" si="9"/>
        <v>0</v>
      </c>
      <c r="H266" s="66">
        <v>25.6108</v>
      </c>
      <c r="I266" s="66">
        <v>26.4719</v>
      </c>
      <c r="J266" s="66">
        <v>26.0077</v>
      </c>
      <c r="K266" s="81">
        <f t="shared" si="2"/>
        <v>0.8611</v>
      </c>
      <c r="L266" s="81">
        <f t="shared" si="3"/>
        <v>0.3969</v>
      </c>
    </row>
    <row r="267">
      <c r="A267" s="82">
        <v>44650.0</v>
      </c>
      <c r="B267" s="82">
        <v>44650.0</v>
      </c>
      <c r="C267" s="66">
        <v>2379.0</v>
      </c>
      <c r="D267" s="66" t="s">
        <v>203</v>
      </c>
      <c r="E267" s="66">
        <v>0.0</v>
      </c>
      <c r="F267" s="66" t="s">
        <v>205</v>
      </c>
      <c r="G267" s="66">
        <f t="shared" si="9"/>
        <v>0</v>
      </c>
      <c r="H267" s="66">
        <v>26.1053</v>
      </c>
      <c r="I267" s="66">
        <v>30.3336</v>
      </c>
      <c r="J267" s="66">
        <v>28.0025</v>
      </c>
      <c r="K267" s="81">
        <f t="shared" si="2"/>
        <v>4.2283</v>
      </c>
      <c r="L267" s="81">
        <f t="shared" si="3"/>
        <v>1.8972</v>
      </c>
    </row>
    <row r="268">
      <c r="A268" s="82">
        <v>44650.0</v>
      </c>
      <c r="B268" s="82">
        <v>44650.0</v>
      </c>
      <c r="C268" s="66">
        <v>2343.0</v>
      </c>
      <c r="D268" s="66" t="s">
        <v>203</v>
      </c>
      <c r="E268" s="66">
        <v>1.0</v>
      </c>
      <c r="F268" s="66" t="s">
        <v>204</v>
      </c>
      <c r="G268" s="66">
        <f t="shared" si="9"/>
        <v>0</v>
      </c>
      <c r="H268" s="66">
        <v>25.7748</v>
      </c>
      <c r="I268" s="66">
        <v>26.2259</v>
      </c>
      <c r="J268" s="66">
        <v>25.9749</v>
      </c>
      <c r="K268" s="81">
        <f t="shared" si="2"/>
        <v>0.4511</v>
      </c>
      <c r="L268" s="81">
        <f t="shared" si="3"/>
        <v>0.2001</v>
      </c>
    </row>
    <row r="269">
      <c r="A269" s="82">
        <v>44655.0</v>
      </c>
      <c r="B269" s="82">
        <v>44655.0</v>
      </c>
      <c r="C269" s="66">
        <v>2006.0</v>
      </c>
      <c r="D269" s="66" t="s">
        <v>203</v>
      </c>
      <c r="E269" s="66">
        <v>0.0</v>
      </c>
      <c r="F269" s="66" t="s">
        <v>205</v>
      </c>
      <c r="G269" s="66">
        <f t="shared" si="9"/>
        <v>0</v>
      </c>
      <c r="H269" s="66">
        <v>26.4567</v>
      </c>
      <c r="I269" s="66">
        <v>35.6789</v>
      </c>
      <c r="J269" s="66">
        <v>30.9273</v>
      </c>
      <c r="K269" s="81">
        <f t="shared" si="2"/>
        <v>9.2222</v>
      </c>
      <c r="L269" s="81">
        <f t="shared" si="3"/>
        <v>4.4706</v>
      </c>
    </row>
    <row r="270">
      <c r="A270" s="82">
        <v>44655.0</v>
      </c>
      <c r="B270" s="82">
        <v>44655.0</v>
      </c>
      <c r="C270" s="66">
        <v>2022.0</v>
      </c>
      <c r="D270" s="66" t="s">
        <v>203</v>
      </c>
      <c r="E270" s="66">
        <v>0.0</v>
      </c>
      <c r="F270" s="66" t="s">
        <v>204</v>
      </c>
      <c r="G270" s="66">
        <f t="shared" si="9"/>
        <v>0</v>
      </c>
      <c r="H270" s="66">
        <v>26.4226</v>
      </c>
      <c r="I270" s="66">
        <v>27.1654</v>
      </c>
      <c r="J270" s="66">
        <v>26.5596</v>
      </c>
      <c r="K270" s="81">
        <f t="shared" si="2"/>
        <v>0.7428</v>
      </c>
      <c r="L270" s="81">
        <f t="shared" si="3"/>
        <v>0.137</v>
      </c>
    </row>
    <row r="271">
      <c r="A271" s="82">
        <v>44655.0</v>
      </c>
      <c r="B271" s="82">
        <v>44655.0</v>
      </c>
      <c r="C271" s="66">
        <v>2023.0</v>
      </c>
      <c r="D271" s="66" t="s">
        <v>203</v>
      </c>
      <c r="E271" s="66">
        <v>1.0</v>
      </c>
      <c r="F271" s="66" t="s">
        <v>205</v>
      </c>
      <c r="G271" s="66">
        <f t="shared" si="9"/>
        <v>0</v>
      </c>
      <c r="H271" s="66">
        <v>26.3237</v>
      </c>
      <c r="I271" s="66">
        <v>37.1137</v>
      </c>
      <c r="J271" s="66">
        <v>32.1436</v>
      </c>
      <c r="K271" s="81">
        <f t="shared" si="2"/>
        <v>10.79</v>
      </c>
      <c r="L271" s="81">
        <f t="shared" si="3"/>
        <v>5.8199</v>
      </c>
    </row>
    <row r="272">
      <c r="A272" s="82">
        <v>44655.0</v>
      </c>
      <c r="B272" s="82">
        <v>44655.0</v>
      </c>
      <c r="C272" s="66">
        <v>2025.0</v>
      </c>
      <c r="D272" s="66" t="s">
        <v>203</v>
      </c>
      <c r="E272" s="66">
        <v>0.0</v>
      </c>
      <c r="F272" s="66" t="s">
        <v>204</v>
      </c>
      <c r="G272" s="66">
        <f t="shared" si="9"/>
        <v>0</v>
      </c>
      <c r="H272" s="66">
        <v>26.4262</v>
      </c>
      <c r="I272" s="66">
        <v>27.048</v>
      </c>
      <c r="J272" s="66">
        <v>26.6761</v>
      </c>
      <c r="K272" s="81">
        <f t="shared" si="2"/>
        <v>0.6218</v>
      </c>
      <c r="L272" s="81">
        <f t="shared" si="3"/>
        <v>0.2499</v>
      </c>
    </row>
    <row r="273">
      <c r="A273" s="82">
        <v>44655.0</v>
      </c>
      <c r="B273" s="82">
        <v>44655.0</v>
      </c>
      <c r="C273" s="66">
        <v>2030.0</v>
      </c>
      <c r="D273" s="66" t="s">
        <v>203</v>
      </c>
      <c r="E273" s="66">
        <v>1.0</v>
      </c>
      <c r="F273" s="66" t="s">
        <v>205</v>
      </c>
      <c r="G273" s="66">
        <f t="shared" si="9"/>
        <v>0</v>
      </c>
      <c r="H273" s="66">
        <v>25.9704</v>
      </c>
      <c r="I273" s="66">
        <v>28.2555</v>
      </c>
      <c r="J273" s="66">
        <v>27.0322</v>
      </c>
      <c r="K273" s="81">
        <f t="shared" si="2"/>
        <v>2.2851</v>
      </c>
      <c r="L273" s="81">
        <f t="shared" si="3"/>
        <v>1.0618</v>
      </c>
    </row>
    <row r="274">
      <c r="A274" s="82">
        <v>44655.0</v>
      </c>
      <c r="B274" s="82">
        <v>44655.0</v>
      </c>
      <c r="C274" s="66">
        <v>1478.0</v>
      </c>
      <c r="D274" s="66" t="s">
        <v>198</v>
      </c>
      <c r="E274" s="66">
        <v>1.0</v>
      </c>
      <c r="F274" s="66" t="s">
        <v>204</v>
      </c>
      <c r="G274" s="66">
        <f t="shared" si="9"/>
        <v>0</v>
      </c>
      <c r="H274" s="66">
        <v>26.4458</v>
      </c>
      <c r="I274" s="66">
        <v>28.0763</v>
      </c>
      <c r="J274" s="66">
        <v>27.0048</v>
      </c>
      <c r="K274" s="81">
        <f t="shared" si="2"/>
        <v>1.6305</v>
      </c>
      <c r="L274" s="81">
        <f t="shared" si="3"/>
        <v>0.559</v>
      </c>
    </row>
    <row r="275">
      <c r="A275" s="82">
        <v>44655.0</v>
      </c>
      <c r="B275" s="82">
        <v>44655.0</v>
      </c>
      <c r="C275" s="66">
        <v>2086.0</v>
      </c>
      <c r="D275" s="66" t="s">
        <v>203</v>
      </c>
      <c r="E275" s="66">
        <v>1.0</v>
      </c>
      <c r="F275" s="66" t="s">
        <v>204</v>
      </c>
      <c r="G275" s="66">
        <f t="shared" si="9"/>
        <v>0</v>
      </c>
      <c r="H275" s="66">
        <v>25.7503</v>
      </c>
      <c r="I275" s="66">
        <v>27.0016</v>
      </c>
      <c r="J275" s="66">
        <v>26.1037</v>
      </c>
      <c r="K275" s="81">
        <f t="shared" si="2"/>
        <v>1.2513</v>
      </c>
      <c r="L275" s="81">
        <f t="shared" si="3"/>
        <v>0.3534</v>
      </c>
    </row>
    <row r="276">
      <c r="A276" s="82">
        <v>44655.0</v>
      </c>
      <c r="B276" s="82">
        <v>44655.0</v>
      </c>
      <c r="C276" s="66">
        <v>2026.0</v>
      </c>
      <c r="D276" s="66" t="s">
        <v>203</v>
      </c>
      <c r="E276" s="66">
        <v>0.0</v>
      </c>
      <c r="F276" s="66" t="s">
        <v>205</v>
      </c>
      <c r="G276" s="66">
        <f t="shared" si="9"/>
        <v>0</v>
      </c>
      <c r="H276" s="66">
        <v>26.211</v>
      </c>
      <c r="I276" s="66">
        <v>32.7802</v>
      </c>
      <c r="J276" s="66">
        <v>29.2379</v>
      </c>
      <c r="K276" s="81">
        <f t="shared" si="2"/>
        <v>6.5692</v>
      </c>
      <c r="L276" s="81">
        <f t="shared" si="3"/>
        <v>3.0269</v>
      </c>
    </row>
    <row r="277">
      <c r="A277" s="82">
        <v>44655.0</v>
      </c>
      <c r="B277" s="82">
        <v>44655.0</v>
      </c>
      <c r="C277" s="66">
        <v>2024.0</v>
      </c>
      <c r="D277" s="66" t="s">
        <v>203</v>
      </c>
      <c r="E277" s="66">
        <v>0.0</v>
      </c>
      <c r="F277" s="66" t="s">
        <v>205</v>
      </c>
      <c r="G277" s="66">
        <f t="shared" si="9"/>
        <v>0</v>
      </c>
      <c r="H277" s="66">
        <v>25.6994</v>
      </c>
      <c r="I277" s="66">
        <v>32.3349</v>
      </c>
      <c r="J277" s="66">
        <v>28.5153</v>
      </c>
      <c r="K277" s="81">
        <f t="shared" si="2"/>
        <v>6.6355</v>
      </c>
      <c r="L277" s="81">
        <f t="shared" si="3"/>
        <v>2.8159</v>
      </c>
    </row>
    <row r="278">
      <c r="A278" s="82">
        <v>44655.0</v>
      </c>
      <c r="B278" s="82">
        <v>44655.0</v>
      </c>
      <c r="C278" s="66">
        <v>2015.0</v>
      </c>
      <c r="D278" s="66" t="s">
        <v>198</v>
      </c>
      <c r="E278" s="66">
        <v>0.0</v>
      </c>
      <c r="F278" s="66" t="s">
        <v>204</v>
      </c>
      <c r="G278" s="66">
        <f t="shared" si="9"/>
        <v>0</v>
      </c>
      <c r="H278" s="66">
        <v>26.9002</v>
      </c>
      <c r="I278" s="66">
        <v>28.6888</v>
      </c>
      <c r="J278" s="66">
        <v>27.6169</v>
      </c>
      <c r="K278" s="81">
        <f t="shared" si="2"/>
        <v>1.7886</v>
      </c>
      <c r="L278" s="81">
        <f t="shared" si="3"/>
        <v>0.7167</v>
      </c>
    </row>
    <row r="279">
      <c r="A279" s="82">
        <v>44655.0</v>
      </c>
      <c r="B279" s="82">
        <v>44655.0</v>
      </c>
      <c r="C279" s="66">
        <v>2012.0</v>
      </c>
      <c r="D279" s="66" t="s">
        <v>203</v>
      </c>
      <c r="E279" s="66">
        <v>0.0</v>
      </c>
      <c r="F279" s="66" t="s">
        <v>205</v>
      </c>
      <c r="G279" s="66">
        <f t="shared" si="9"/>
        <v>0</v>
      </c>
      <c r="H279" s="66">
        <v>25.9477</v>
      </c>
      <c r="I279" s="66">
        <v>32.1707</v>
      </c>
      <c r="J279" s="66">
        <v>28.1282</v>
      </c>
      <c r="K279" s="81">
        <f t="shared" si="2"/>
        <v>6.223</v>
      </c>
      <c r="L279" s="81">
        <f t="shared" si="3"/>
        <v>2.1805</v>
      </c>
      <c r="N279" s="66" t="s">
        <v>210</v>
      </c>
    </row>
    <row r="280">
      <c r="A280" s="82">
        <v>44655.0</v>
      </c>
      <c r="B280" s="82">
        <v>44655.0</v>
      </c>
      <c r="C280" s="66">
        <v>2027.0</v>
      </c>
      <c r="D280" s="66" t="s">
        <v>203</v>
      </c>
      <c r="E280" s="66">
        <v>1.0</v>
      </c>
      <c r="F280" s="66" t="s">
        <v>204</v>
      </c>
      <c r="G280" s="66">
        <f t="shared" si="9"/>
        <v>0</v>
      </c>
      <c r="H280" s="66">
        <v>15.6078</v>
      </c>
      <c r="I280" s="66">
        <v>15.8382</v>
      </c>
      <c r="J280" s="66">
        <v>15.9218</v>
      </c>
      <c r="K280" s="81">
        <f t="shared" si="2"/>
        <v>0.2304</v>
      </c>
      <c r="L280" s="81">
        <f t="shared" si="3"/>
        <v>0.314</v>
      </c>
    </row>
    <row r="281">
      <c r="A281" s="82">
        <v>44655.0</v>
      </c>
      <c r="B281" s="82">
        <v>44655.0</v>
      </c>
      <c r="C281" s="66">
        <v>2008.0</v>
      </c>
      <c r="D281" s="66" t="s">
        <v>203</v>
      </c>
      <c r="E281" s="66">
        <v>0.0</v>
      </c>
      <c r="F281" s="66" t="s">
        <v>204</v>
      </c>
      <c r="G281" s="66">
        <f t="shared" si="9"/>
        <v>0</v>
      </c>
      <c r="H281" s="66">
        <v>25.6375</v>
      </c>
      <c r="I281" s="66">
        <v>26.4761</v>
      </c>
      <c r="J281" s="66">
        <v>25.8226</v>
      </c>
      <c r="K281" s="81">
        <f t="shared" si="2"/>
        <v>0.8386</v>
      </c>
      <c r="L281" s="81">
        <f t="shared" si="3"/>
        <v>0.1851</v>
      </c>
    </row>
    <row r="282">
      <c r="A282" s="82">
        <v>44655.0</v>
      </c>
      <c r="B282" s="82">
        <v>44655.0</v>
      </c>
      <c r="C282" s="66">
        <v>2031.0</v>
      </c>
      <c r="D282" s="66" t="s">
        <v>203</v>
      </c>
      <c r="E282" s="66">
        <v>0.0</v>
      </c>
      <c r="F282" s="66" t="s">
        <v>205</v>
      </c>
      <c r="G282" s="66">
        <f t="shared" si="9"/>
        <v>0</v>
      </c>
      <c r="H282" s="66">
        <v>26.209</v>
      </c>
      <c r="I282" s="66">
        <v>30.9414</v>
      </c>
      <c r="J282" s="66">
        <v>28.2355</v>
      </c>
      <c r="K282" s="81">
        <f t="shared" si="2"/>
        <v>4.7324</v>
      </c>
      <c r="L282" s="81">
        <f t="shared" si="3"/>
        <v>2.0265</v>
      </c>
    </row>
    <row r="283">
      <c r="A283" s="82">
        <v>44655.0</v>
      </c>
      <c r="B283" s="82">
        <v>44655.0</v>
      </c>
      <c r="C283" s="66">
        <v>2011.0</v>
      </c>
      <c r="D283" s="66" t="s">
        <v>203</v>
      </c>
      <c r="E283" s="66">
        <v>0.0</v>
      </c>
      <c r="F283" s="66" t="s">
        <v>205</v>
      </c>
      <c r="G283" s="66">
        <f t="shared" si="9"/>
        <v>0</v>
      </c>
      <c r="H283" s="66">
        <v>25.9872</v>
      </c>
      <c r="I283" s="66">
        <v>30.302</v>
      </c>
      <c r="J283" s="66">
        <v>27.77</v>
      </c>
      <c r="K283" s="81">
        <f t="shared" si="2"/>
        <v>4.3148</v>
      </c>
      <c r="L283" s="81">
        <f t="shared" si="3"/>
        <v>1.7828</v>
      </c>
    </row>
    <row r="284">
      <c r="A284" s="82">
        <v>44655.0</v>
      </c>
      <c r="B284" s="82">
        <v>44655.0</v>
      </c>
      <c r="C284" s="66">
        <v>2090.0</v>
      </c>
      <c r="D284" s="66" t="s">
        <v>203</v>
      </c>
      <c r="E284" s="66">
        <v>1.0</v>
      </c>
      <c r="F284" s="66" t="s">
        <v>204</v>
      </c>
      <c r="G284" s="66">
        <f t="shared" si="9"/>
        <v>0</v>
      </c>
      <c r="H284" s="66">
        <v>26.1816</v>
      </c>
      <c r="I284" s="66">
        <v>27.433</v>
      </c>
      <c r="J284" s="66">
        <v>26.9313</v>
      </c>
      <c r="K284" s="81">
        <f t="shared" si="2"/>
        <v>1.2514</v>
      </c>
      <c r="L284" s="81">
        <f t="shared" si="3"/>
        <v>0.7497</v>
      </c>
    </row>
    <row r="285">
      <c r="A285" s="82">
        <v>44655.0</v>
      </c>
      <c r="B285" s="82">
        <v>44655.0</v>
      </c>
      <c r="C285" s="66">
        <v>2092.0</v>
      </c>
      <c r="D285" s="66" t="s">
        <v>203</v>
      </c>
      <c r="E285" s="66">
        <v>1.0</v>
      </c>
      <c r="F285" s="66" t="s">
        <v>205</v>
      </c>
      <c r="G285" s="66">
        <f t="shared" si="9"/>
        <v>0</v>
      </c>
      <c r="H285" s="66">
        <v>25.9272</v>
      </c>
      <c r="I285" s="66">
        <v>30.7864</v>
      </c>
      <c r="J285" s="66">
        <v>28.66</v>
      </c>
      <c r="K285" s="81">
        <f t="shared" si="2"/>
        <v>4.8592</v>
      </c>
      <c r="L285" s="81">
        <f t="shared" si="3"/>
        <v>2.7328</v>
      </c>
    </row>
    <row r="286">
      <c r="A286" s="82">
        <v>44655.0</v>
      </c>
      <c r="B286" s="82">
        <v>44655.0</v>
      </c>
      <c r="C286" s="66">
        <v>1478.0</v>
      </c>
      <c r="D286" s="66" t="s">
        <v>203</v>
      </c>
      <c r="E286" s="66">
        <v>1.0</v>
      </c>
      <c r="F286" s="66" t="s">
        <v>204</v>
      </c>
      <c r="G286" s="66">
        <f t="shared" si="9"/>
        <v>0</v>
      </c>
      <c r="H286" s="66">
        <v>25.7092</v>
      </c>
      <c r="I286" s="66">
        <v>27.986</v>
      </c>
      <c r="J286" s="66">
        <v>26.5743</v>
      </c>
      <c r="K286" s="81">
        <f t="shared" si="2"/>
        <v>2.2768</v>
      </c>
      <c r="L286" s="81">
        <f t="shared" si="3"/>
        <v>0.8651</v>
      </c>
    </row>
    <row r="287">
      <c r="A287" s="82">
        <v>44655.0</v>
      </c>
      <c r="B287" s="82">
        <v>44655.0</v>
      </c>
      <c r="C287" s="66">
        <v>2012.0</v>
      </c>
      <c r="D287" s="66" t="s">
        <v>203</v>
      </c>
      <c r="E287" s="66">
        <v>1.0</v>
      </c>
      <c r="F287" s="66" t="s">
        <v>204</v>
      </c>
      <c r="G287" s="66">
        <f t="shared" si="9"/>
        <v>0</v>
      </c>
      <c r="H287" s="66">
        <v>25.8866</v>
      </c>
      <c r="I287" s="66">
        <v>27.9276</v>
      </c>
      <c r="J287" s="66">
        <v>26.8505</v>
      </c>
      <c r="K287" s="81">
        <f t="shared" si="2"/>
        <v>2.041</v>
      </c>
      <c r="L287" s="81">
        <f t="shared" si="3"/>
        <v>0.9639</v>
      </c>
    </row>
    <row r="288">
      <c r="A288" s="82">
        <v>44655.0</v>
      </c>
      <c r="B288" s="82">
        <v>44655.0</v>
      </c>
      <c r="C288" s="66">
        <v>2087.0</v>
      </c>
      <c r="D288" s="66" t="s">
        <v>198</v>
      </c>
      <c r="E288" s="66">
        <v>0.0</v>
      </c>
      <c r="F288" s="66" t="s">
        <v>204</v>
      </c>
      <c r="G288" s="66">
        <f t="shared" si="9"/>
        <v>0</v>
      </c>
      <c r="H288" s="66">
        <v>25.8913</v>
      </c>
      <c r="I288" s="66">
        <v>27.5338</v>
      </c>
      <c r="J288" s="66">
        <v>26.2715</v>
      </c>
      <c r="K288" s="81">
        <f t="shared" si="2"/>
        <v>1.6425</v>
      </c>
      <c r="L288" s="81">
        <f t="shared" si="3"/>
        <v>0.3802</v>
      </c>
    </row>
    <row r="289">
      <c r="A289" s="82">
        <v>44655.0</v>
      </c>
      <c r="B289" s="82">
        <v>44655.0</v>
      </c>
      <c r="C289" s="66">
        <v>2029.0</v>
      </c>
      <c r="D289" s="66" t="s">
        <v>203</v>
      </c>
      <c r="E289" s="66">
        <v>0.0</v>
      </c>
      <c r="F289" s="66" t="s">
        <v>204</v>
      </c>
      <c r="G289" s="66">
        <f t="shared" si="9"/>
        <v>0</v>
      </c>
      <c r="H289" s="66">
        <v>25.786</v>
      </c>
      <c r="I289" s="66">
        <v>25.8444</v>
      </c>
      <c r="J289" s="66">
        <v>25.9813</v>
      </c>
      <c r="K289" s="81">
        <f t="shared" si="2"/>
        <v>0.0584</v>
      </c>
      <c r="L289" s="81">
        <f t="shared" si="3"/>
        <v>0.1953</v>
      </c>
    </row>
    <row r="290">
      <c r="A290" s="82">
        <v>44655.0</v>
      </c>
      <c r="B290" s="82">
        <v>44655.0</v>
      </c>
      <c r="C290" s="66">
        <v>2024.0</v>
      </c>
      <c r="D290" s="66" t="s">
        <v>203</v>
      </c>
      <c r="E290" s="66">
        <v>1.0</v>
      </c>
      <c r="F290" s="66" t="s">
        <v>204</v>
      </c>
      <c r="G290" s="66">
        <f t="shared" si="9"/>
        <v>0</v>
      </c>
      <c r="H290" s="66">
        <v>26.222</v>
      </c>
      <c r="I290" s="66">
        <v>27.5784</v>
      </c>
      <c r="J290" s="66">
        <v>26.8518</v>
      </c>
      <c r="K290" s="81">
        <f t="shared" si="2"/>
        <v>1.3564</v>
      </c>
      <c r="L290" s="81">
        <f t="shared" si="3"/>
        <v>0.6298</v>
      </c>
    </row>
    <row r="291">
      <c r="A291" s="82">
        <v>44655.0</v>
      </c>
      <c r="B291" s="82">
        <v>44655.0</v>
      </c>
      <c r="C291" s="66">
        <v>2088.0</v>
      </c>
      <c r="D291" s="66" t="s">
        <v>198</v>
      </c>
      <c r="E291" s="66">
        <v>0.0</v>
      </c>
      <c r="F291" s="66" t="s">
        <v>204</v>
      </c>
      <c r="G291" s="66">
        <f t="shared" si="9"/>
        <v>0</v>
      </c>
      <c r="H291" s="66">
        <v>15.6167</v>
      </c>
      <c r="I291" s="66">
        <v>17.2003</v>
      </c>
      <c r="J291" s="66">
        <v>16.0128</v>
      </c>
      <c r="K291" s="81">
        <f t="shared" si="2"/>
        <v>1.5836</v>
      </c>
      <c r="L291" s="81">
        <f t="shared" si="3"/>
        <v>0.3961</v>
      </c>
    </row>
    <row r="292">
      <c r="A292" s="82">
        <v>44655.0</v>
      </c>
      <c r="B292" s="82">
        <v>44655.0</v>
      </c>
      <c r="C292" s="66">
        <v>2022.0</v>
      </c>
      <c r="D292" s="66" t="s">
        <v>203</v>
      </c>
      <c r="E292" s="66">
        <v>1.0</v>
      </c>
      <c r="F292" s="66" t="s">
        <v>204</v>
      </c>
      <c r="G292" s="66">
        <f t="shared" si="9"/>
        <v>0</v>
      </c>
      <c r="H292" s="66">
        <v>25.9464</v>
      </c>
      <c r="I292" s="66">
        <v>27.7704</v>
      </c>
      <c r="J292" s="66">
        <v>26.7712</v>
      </c>
      <c r="K292" s="81">
        <f t="shared" si="2"/>
        <v>1.824</v>
      </c>
      <c r="L292" s="81">
        <f t="shared" si="3"/>
        <v>0.8248</v>
      </c>
    </row>
    <row r="293">
      <c r="A293" s="82">
        <v>44655.0</v>
      </c>
      <c r="B293" s="82">
        <v>44655.0</v>
      </c>
      <c r="C293" s="66">
        <v>2093.0</v>
      </c>
      <c r="D293" s="66" t="s">
        <v>203</v>
      </c>
      <c r="E293" s="66">
        <v>0.0</v>
      </c>
      <c r="F293" s="66" t="s">
        <v>205</v>
      </c>
      <c r="G293" s="66">
        <f t="shared" si="9"/>
        <v>0</v>
      </c>
      <c r="H293" s="66">
        <v>26.0688</v>
      </c>
      <c r="I293" s="66">
        <v>26.4363</v>
      </c>
      <c r="J293" s="66">
        <v>26.1669</v>
      </c>
      <c r="K293" s="81">
        <f t="shared" si="2"/>
        <v>0.3675</v>
      </c>
      <c r="L293" s="81">
        <f t="shared" si="3"/>
        <v>0.0981</v>
      </c>
    </row>
    <row r="294">
      <c r="A294" s="82">
        <v>44655.0</v>
      </c>
      <c r="B294" s="82">
        <v>44655.0</v>
      </c>
      <c r="C294" s="66">
        <v>2008.0</v>
      </c>
      <c r="D294" s="66" t="s">
        <v>203</v>
      </c>
      <c r="E294" s="66">
        <v>0.0</v>
      </c>
      <c r="F294" s="66" t="s">
        <v>205</v>
      </c>
      <c r="G294" s="66">
        <f t="shared" si="9"/>
        <v>0</v>
      </c>
      <c r="H294" s="66">
        <v>26.1805</v>
      </c>
      <c r="I294" s="66">
        <v>31.7341</v>
      </c>
      <c r="J294" s="66">
        <v>28.3494</v>
      </c>
      <c r="K294" s="81">
        <f t="shared" si="2"/>
        <v>5.5536</v>
      </c>
      <c r="L294" s="81">
        <f t="shared" si="3"/>
        <v>2.1689</v>
      </c>
    </row>
    <row r="295">
      <c r="A295" s="82">
        <v>44655.0</v>
      </c>
      <c r="B295" s="82">
        <v>44655.0</v>
      </c>
      <c r="C295" s="66">
        <v>2021.0</v>
      </c>
      <c r="D295" s="66" t="s">
        <v>203</v>
      </c>
      <c r="E295" s="66">
        <v>0.0</v>
      </c>
      <c r="F295" s="66" t="s">
        <v>205</v>
      </c>
      <c r="G295" s="66">
        <f t="shared" si="9"/>
        <v>0</v>
      </c>
      <c r="H295" s="66">
        <v>26.0852</v>
      </c>
      <c r="I295" s="66">
        <v>32.2483</v>
      </c>
      <c r="J295" s="66">
        <v>29.0333</v>
      </c>
      <c r="K295" s="81">
        <f t="shared" si="2"/>
        <v>6.1631</v>
      </c>
      <c r="L295" s="81">
        <f t="shared" si="3"/>
        <v>2.9481</v>
      </c>
    </row>
    <row r="296">
      <c r="A296" s="82">
        <v>44655.0</v>
      </c>
      <c r="B296" s="82">
        <v>44655.0</v>
      </c>
      <c r="C296" s="66">
        <v>2027.0</v>
      </c>
      <c r="D296" s="66" t="s">
        <v>203</v>
      </c>
      <c r="E296" s="66">
        <v>0.0</v>
      </c>
      <c r="F296" s="66" t="s">
        <v>205</v>
      </c>
      <c r="G296" s="66">
        <f t="shared" si="9"/>
        <v>0</v>
      </c>
      <c r="H296" s="66">
        <v>26.7475</v>
      </c>
      <c r="I296" s="66">
        <v>32.2856</v>
      </c>
      <c r="J296" s="66">
        <v>29.3767</v>
      </c>
      <c r="K296" s="81">
        <f t="shared" si="2"/>
        <v>5.5381</v>
      </c>
      <c r="L296" s="81">
        <f t="shared" si="3"/>
        <v>2.6292</v>
      </c>
    </row>
    <row r="297">
      <c r="A297" s="82">
        <v>44655.0</v>
      </c>
      <c r="B297" s="82">
        <v>44655.0</v>
      </c>
      <c r="C297" s="66">
        <v>2085.0</v>
      </c>
      <c r="D297" s="66" t="s">
        <v>203</v>
      </c>
      <c r="E297" s="66">
        <v>0.0</v>
      </c>
      <c r="F297" s="66" t="s">
        <v>204</v>
      </c>
      <c r="G297" s="66">
        <f t="shared" si="9"/>
        <v>0</v>
      </c>
      <c r="H297" s="66">
        <v>25.8777</v>
      </c>
      <c r="I297" s="66">
        <v>27.4682</v>
      </c>
      <c r="J297" s="66">
        <v>26.4456</v>
      </c>
      <c r="K297" s="81">
        <f t="shared" si="2"/>
        <v>1.5905</v>
      </c>
      <c r="L297" s="81">
        <f t="shared" si="3"/>
        <v>0.5679</v>
      </c>
    </row>
    <row r="298">
      <c r="A298" s="82">
        <v>44655.0</v>
      </c>
      <c r="B298" s="82">
        <v>44655.0</v>
      </c>
      <c r="C298" s="66">
        <v>2031.0</v>
      </c>
      <c r="D298" s="66" t="s">
        <v>58</v>
      </c>
      <c r="E298" s="66">
        <v>0.0</v>
      </c>
      <c r="F298" s="66" t="s">
        <v>205</v>
      </c>
      <c r="G298" s="66">
        <f t="shared" si="9"/>
        <v>0</v>
      </c>
      <c r="H298" s="66">
        <v>25.4177</v>
      </c>
      <c r="I298" s="66">
        <v>34.2715</v>
      </c>
      <c r="J298" s="66">
        <v>29.7535</v>
      </c>
      <c r="K298" s="81">
        <f t="shared" si="2"/>
        <v>8.8538</v>
      </c>
      <c r="L298" s="81">
        <f t="shared" si="3"/>
        <v>4.3358</v>
      </c>
    </row>
    <row r="299">
      <c r="A299" s="82">
        <v>44655.0</v>
      </c>
      <c r="B299" s="82">
        <v>44655.0</v>
      </c>
      <c r="C299" s="66">
        <v>2026.0</v>
      </c>
      <c r="D299" s="66" t="s">
        <v>203</v>
      </c>
      <c r="E299" s="66">
        <v>0.0</v>
      </c>
      <c r="F299" s="66" t="s">
        <v>204</v>
      </c>
      <c r="G299" s="66">
        <f t="shared" si="9"/>
        <v>0</v>
      </c>
      <c r="H299" s="66">
        <v>25.8989</v>
      </c>
      <c r="I299" s="66">
        <v>26.7923</v>
      </c>
      <c r="J299" s="66">
        <v>26.4325</v>
      </c>
      <c r="K299" s="81">
        <f t="shared" si="2"/>
        <v>0.8934</v>
      </c>
      <c r="L299" s="81">
        <f t="shared" si="3"/>
        <v>0.5336</v>
      </c>
      <c r="N299" s="66" t="s">
        <v>210</v>
      </c>
    </row>
    <row r="300">
      <c r="A300" s="82">
        <v>44655.0</v>
      </c>
      <c r="B300" s="82">
        <v>44655.0</v>
      </c>
      <c r="C300" s="66">
        <v>2086.0</v>
      </c>
      <c r="D300" s="66" t="s">
        <v>198</v>
      </c>
      <c r="E300" s="66">
        <v>0.0</v>
      </c>
      <c r="F300" s="66" t="s">
        <v>205</v>
      </c>
      <c r="G300" s="66">
        <f t="shared" si="9"/>
        <v>0</v>
      </c>
      <c r="H300" s="66">
        <v>26.9347</v>
      </c>
      <c r="I300" s="66">
        <v>31.2924</v>
      </c>
      <c r="J300" s="66">
        <v>28.4447</v>
      </c>
      <c r="K300" s="81">
        <f t="shared" si="2"/>
        <v>4.3577</v>
      </c>
      <c r="L300" s="81">
        <f t="shared" si="3"/>
        <v>1.51</v>
      </c>
    </row>
    <row r="301">
      <c r="A301" s="82">
        <v>44655.0</v>
      </c>
      <c r="B301" s="82">
        <v>44655.0</v>
      </c>
      <c r="C301" s="66">
        <v>2029.0</v>
      </c>
      <c r="D301" s="66" t="s">
        <v>203</v>
      </c>
      <c r="E301" s="66">
        <v>1.0</v>
      </c>
      <c r="F301" s="66" t="s">
        <v>204</v>
      </c>
      <c r="G301" s="66">
        <f t="shared" si="9"/>
        <v>0</v>
      </c>
      <c r="H301" s="66">
        <v>25.6111</v>
      </c>
      <c r="I301" s="66">
        <v>26.8622</v>
      </c>
      <c r="J301" s="66">
        <v>25.9689</v>
      </c>
      <c r="K301" s="81">
        <f t="shared" si="2"/>
        <v>1.2511</v>
      </c>
      <c r="L301" s="81">
        <f t="shared" si="3"/>
        <v>0.3578</v>
      </c>
    </row>
    <row r="302">
      <c r="A302" s="82">
        <v>44655.0</v>
      </c>
      <c r="B302" s="82">
        <v>44655.0</v>
      </c>
      <c r="C302" s="66">
        <v>2085.0</v>
      </c>
      <c r="D302" s="66" t="s">
        <v>203</v>
      </c>
      <c r="E302" s="66">
        <v>1.0</v>
      </c>
      <c r="F302" s="66" t="s">
        <v>204</v>
      </c>
      <c r="G302" s="66">
        <f t="shared" si="9"/>
        <v>0</v>
      </c>
      <c r="H302" s="66">
        <v>26.3298</v>
      </c>
      <c r="I302" s="66">
        <v>29.0464</v>
      </c>
      <c r="J302" s="66">
        <v>27.391</v>
      </c>
      <c r="K302" s="81">
        <f t="shared" si="2"/>
        <v>2.7166</v>
      </c>
      <c r="L302" s="81">
        <f t="shared" si="3"/>
        <v>1.0612</v>
      </c>
    </row>
    <row r="303">
      <c r="A303" s="82">
        <v>44655.0</v>
      </c>
      <c r="B303" s="82">
        <v>44655.0</v>
      </c>
      <c r="C303" s="66">
        <v>2023.0</v>
      </c>
      <c r="D303" s="66" t="s">
        <v>203</v>
      </c>
      <c r="E303" s="66">
        <v>0.0</v>
      </c>
      <c r="F303" s="66" t="s">
        <v>205</v>
      </c>
      <c r="G303" s="66">
        <f t="shared" si="9"/>
        <v>0</v>
      </c>
      <c r="H303" s="66">
        <v>26.0538</v>
      </c>
      <c r="I303" s="66">
        <v>31.2959</v>
      </c>
      <c r="J303" s="66">
        <v>28.5464</v>
      </c>
      <c r="K303" s="81">
        <f t="shared" si="2"/>
        <v>5.2421</v>
      </c>
      <c r="L303" s="81">
        <f t="shared" si="3"/>
        <v>2.4926</v>
      </c>
    </row>
    <row r="304">
      <c r="A304" s="82">
        <v>44655.0</v>
      </c>
      <c r="B304" s="82">
        <v>44655.0</v>
      </c>
      <c r="C304" s="66">
        <v>2015.0</v>
      </c>
      <c r="D304" s="66" t="s">
        <v>203</v>
      </c>
      <c r="E304" s="66">
        <v>0.0</v>
      </c>
      <c r="F304" s="66" t="s">
        <v>204</v>
      </c>
      <c r="G304" s="66">
        <f t="shared" si="9"/>
        <v>0</v>
      </c>
      <c r="H304" s="66">
        <v>25.6978</v>
      </c>
      <c r="I304" s="66">
        <v>27.0999</v>
      </c>
      <c r="J304" s="66">
        <v>26.187</v>
      </c>
      <c r="K304" s="81">
        <f t="shared" si="2"/>
        <v>1.4021</v>
      </c>
      <c r="L304" s="81">
        <f t="shared" si="3"/>
        <v>0.4892</v>
      </c>
    </row>
    <row r="305">
      <c r="A305" s="82">
        <v>44655.0</v>
      </c>
      <c r="B305" s="82">
        <v>44655.0</v>
      </c>
      <c r="C305" s="66">
        <v>2086.0</v>
      </c>
      <c r="D305" s="66" t="s">
        <v>198</v>
      </c>
      <c r="E305" s="66">
        <v>1.0</v>
      </c>
      <c r="F305" s="66" t="s">
        <v>204</v>
      </c>
      <c r="G305" s="66">
        <f t="shared" si="9"/>
        <v>0</v>
      </c>
      <c r="H305" s="66">
        <v>25.4031</v>
      </c>
      <c r="I305" s="66">
        <v>26.9152</v>
      </c>
      <c r="J305" s="66">
        <v>25.8696</v>
      </c>
      <c r="K305" s="81">
        <f t="shared" si="2"/>
        <v>1.5121</v>
      </c>
      <c r="L305" s="81">
        <f t="shared" si="3"/>
        <v>0.4665</v>
      </c>
    </row>
    <row r="306">
      <c r="A306" s="82">
        <v>44655.0</v>
      </c>
      <c r="B306" s="82">
        <v>44655.0</v>
      </c>
      <c r="C306" s="66">
        <v>2005.0</v>
      </c>
      <c r="D306" s="66" t="s">
        <v>203</v>
      </c>
      <c r="E306" s="66">
        <v>0.0</v>
      </c>
      <c r="F306" s="66" t="s">
        <v>204</v>
      </c>
      <c r="G306" s="66">
        <f t="shared" si="9"/>
        <v>0</v>
      </c>
      <c r="H306" s="66">
        <v>25.8242</v>
      </c>
      <c r="I306" s="66">
        <v>26.6378</v>
      </c>
      <c r="J306" s="66">
        <v>26.2995</v>
      </c>
      <c r="K306" s="81">
        <f t="shared" si="2"/>
        <v>0.8136</v>
      </c>
      <c r="L306" s="81">
        <f t="shared" si="3"/>
        <v>0.4753</v>
      </c>
    </row>
    <row r="307">
      <c r="A307" s="82">
        <v>44655.0</v>
      </c>
      <c r="B307" s="82">
        <v>44655.0</v>
      </c>
      <c r="C307" s="66">
        <v>1478.0</v>
      </c>
      <c r="D307" s="66" t="s">
        <v>203</v>
      </c>
      <c r="E307" s="66">
        <v>0.0</v>
      </c>
      <c r="F307" s="66" t="s">
        <v>205</v>
      </c>
      <c r="G307" s="66">
        <f t="shared" si="9"/>
        <v>0</v>
      </c>
      <c r="H307" s="66">
        <v>26.4725</v>
      </c>
      <c r="I307" s="66">
        <v>31.2208</v>
      </c>
      <c r="J307" s="66">
        <v>28.1972</v>
      </c>
      <c r="K307" s="81">
        <f t="shared" si="2"/>
        <v>4.7483</v>
      </c>
      <c r="L307" s="81">
        <f t="shared" si="3"/>
        <v>1.7247</v>
      </c>
    </row>
    <row r="308">
      <c r="A308" s="82">
        <v>44655.0</v>
      </c>
      <c r="B308" s="82">
        <v>44655.0</v>
      </c>
      <c r="C308" s="66">
        <v>2090.0</v>
      </c>
      <c r="D308" s="66" t="s">
        <v>203</v>
      </c>
      <c r="E308" s="66">
        <v>0.0</v>
      </c>
      <c r="F308" s="66" t="s">
        <v>205</v>
      </c>
      <c r="G308" s="66">
        <f t="shared" si="9"/>
        <v>0</v>
      </c>
      <c r="H308" s="66">
        <v>26.1731</v>
      </c>
      <c r="I308" s="66">
        <v>31.5378</v>
      </c>
      <c r="J308" s="66">
        <v>28.3028</v>
      </c>
      <c r="K308" s="81">
        <f t="shared" si="2"/>
        <v>5.3647</v>
      </c>
      <c r="L308" s="81">
        <f t="shared" si="3"/>
        <v>2.1297</v>
      </c>
    </row>
    <row r="309">
      <c r="A309" s="82">
        <v>44655.0</v>
      </c>
      <c r="B309" s="82">
        <v>44655.0</v>
      </c>
      <c r="C309" s="66">
        <v>2091.0</v>
      </c>
      <c r="D309" s="66" t="s">
        <v>203</v>
      </c>
      <c r="E309" s="66">
        <v>1.0</v>
      </c>
      <c r="F309" s="66" t="s">
        <v>205</v>
      </c>
      <c r="G309" s="66">
        <f t="shared" si="9"/>
        <v>0</v>
      </c>
      <c r="H309" s="66">
        <v>26.3417</v>
      </c>
      <c r="I309" s="66">
        <v>32.4927</v>
      </c>
      <c r="J309" s="66">
        <v>29.7754</v>
      </c>
      <c r="K309" s="81">
        <f t="shared" si="2"/>
        <v>6.151</v>
      </c>
      <c r="L309" s="81">
        <f t="shared" si="3"/>
        <v>3.4337</v>
      </c>
    </row>
    <row r="310">
      <c r="A310" s="82">
        <v>44655.0</v>
      </c>
      <c r="B310" s="82">
        <v>44655.0</v>
      </c>
      <c r="C310" s="66">
        <v>2028.0</v>
      </c>
      <c r="D310" s="66" t="s">
        <v>203</v>
      </c>
      <c r="E310" s="66">
        <v>0.0</v>
      </c>
      <c r="F310" s="66" t="s">
        <v>205</v>
      </c>
      <c r="G310" s="66">
        <f t="shared" si="9"/>
        <v>0</v>
      </c>
      <c r="H310" s="66">
        <v>25.7088</v>
      </c>
      <c r="I310" s="66">
        <v>33.5222</v>
      </c>
      <c r="J310" s="66">
        <v>29.4964</v>
      </c>
      <c r="K310" s="81">
        <f t="shared" si="2"/>
        <v>7.8134</v>
      </c>
      <c r="L310" s="81">
        <f t="shared" si="3"/>
        <v>3.7876</v>
      </c>
    </row>
    <row r="311">
      <c r="A311" s="82">
        <v>44655.0</v>
      </c>
      <c r="B311" s="82">
        <v>44655.0</v>
      </c>
      <c r="C311" s="66">
        <v>2025.0</v>
      </c>
      <c r="D311" s="66" t="s">
        <v>203</v>
      </c>
      <c r="E311" s="66">
        <v>1.0</v>
      </c>
      <c r="F311" s="66" t="s">
        <v>204</v>
      </c>
      <c r="G311" s="66">
        <f t="shared" si="9"/>
        <v>0</v>
      </c>
      <c r="H311" s="66">
        <v>25.8549</v>
      </c>
      <c r="I311" s="66">
        <v>26.5966</v>
      </c>
      <c r="J311" s="66">
        <v>26.284</v>
      </c>
      <c r="K311" s="81">
        <f t="shared" si="2"/>
        <v>0.7417</v>
      </c>
      <c r="L311" s="81">
        <f t="shared" si="3"/>
        <v>0.4291</v>
      </c>
    </row>
    <row r="312">
      <c r="A312" s="82">
        <v>44655.0</v>
      </c>
      <c r="B312" s="82">
        <v>44655.0</v>
      </c>
      <c r="C312" s="66">
        <v>2008.0</v>
      </c>
      <c r="D312" s="66" t="s">
        <v>203</v>
      </c>
      <c r="E312" s="66">
        <v>0.0</v>
      </c>
      <c r="F312" s="66" t="s">
        <v>204</v>
      </c>
      <c r="G312" s="66">
        <f t="shared" si="9"/>
        <v>0</v>
      </c>
      <c r="H312" s="66">
        <v>26.0541</v>
      </c>
      <c r="I312" s="66">
        <v>26.7667</v>
      </c>
      <c r="J312" s="66">
        <v>26.2666</v>
      </c>
      <c r="K312" s="81">
        <f t="shared" si="2"/>
        <v>0.7126</v>
      </c>
      <c r="L312" s="81">
        <f t="shared" si="3"/>
        <v>0.2125</v>
      </c>
    </row>
    <row r="313">
      <c r="A313" s="82">
        <v>44655.0</v>
      </c>
      <c r="B313" s="82">
        <v>44655.0</v>
      </c>
      <c r="C313" s="66">
        <v>2021.0</v>
      </c>
      <c r="D313" s="66" t="s">
        <v>203</v>
      </c>
      <c r="E313" s="66">
        <v>1.0</v>
      </c>
      <c r="F313" s="66" t="s">
        <v>204</v>
      </c>
      <c r="G313" s="66">
        <f t="shared" si="9"/>
        <v>0</v>
      </c>
      <c r="H313" s="66">
        <v>26.3305</v>
      </c>
      <c r="I313" s="66">
        <v>27.9059</v>
      </c>
      <c r="J313" s="66">
        <v>27.0318</v>
      </c>
      <c r="K313" s="81">
        <f t="shared" si="2"/>
        <v>1.5754</v>
      </c>
      <c r="L313" s="81">
        <f t="shared" si="3"/>
        <v>0.7013</v>
      </c>
    </row>
    <row r="314">
      <c r="A314" s="82">
        <v>44655.0</v>
      </c>
      <c r="B314" s="82">
        <v>44655.0</v>
      </c>
      <c r="C314" s="66">
        <v>2015.0</v>
      </c>
      <c r="D314" s="66" t="s">
        <v>198</v>
      </c>
      <c r="E314" s="66">
        <v>1.0</v>
      </c>
      <c r="F314" s="66" t="s">
        <v>204</v>
      </c>
      <c r="G314" s="66">
        <f t="shared" si="9"/>
        <v>0</v>
      </c>
      <c r="H314" s="66">
        <v>26.4094</v>
      </c>
      <c r="I314" s="66">
        <v>27.0268</v>
      </c>
      <c r="J314" s="66">
        <v>26.8792</v>
      </c>
      <c r="K314" s="81">
        <f t="shared" si="2"/>
        <v>0.6174</v>
      </c>
      <c r="L314" s="81">
        <f t="shared" si="3"/>
        <v>0.4698</v>
      </c>
    </row>
    <row r="315">
      <c r="A315" s="82">
        <v>44655.0</v>
      </c>
      <c r="B315" s="82">
        <v>44655.0</v>
      </c>
      <c r="C315" s="66">
        <v>2088.0</v>
      </c>
      <c r="D315" s="66" t="s">
        <v>198</v>
      </c>
      <c r="E315" s="66">
        <v>1.0</v>
      </c>
      <c r="F315" s="66" t="s">
        <v>204</v>
      </c>
      <c r="G315" s="66">
        <f t="shared" si="9"/>
        <v>0</v>
      </c>
      <c r="H315" s="66">
        <v>15.3961</v>
      </c>
      <c r="I315" s="66">
        <v>17.3795</v>
      </c>
      <c r="J315" s="66">
        <v>16.1952</v>
      </c>
      <c r="K315" s="81">
        <f t="shared" si="2"/>
        <v>1.9834</v>
      </c>
      <c r="L315" s="81">
        <f t="shared" si="3"/>
        <v>0.7991</v>
      </c>
    </row>
    <row r="316">
      <c r="A316" s="82">
        <v>44655.0</v>
      </c>
      <c r="B316" s="82">
        <v>44655.0</v>
      </c>
      <c r="C316" s="66">
        <v>2008.0</v>
      </c>
      <c r="D316" s="66" t="s">
        <v>203</v>
      </c>
      <c r="E316" s="66">
        <v>0.0</v>
      </c>
      <c r="F316" s="66" t="s">
        <v>205</v>
      </c>
      <c r="G316" s="66">
        <f t="shared" si="9"/>
        <v>0</v>
      </c>
      <c r="H316" s="66">
        <v>26.7896</v>
      </c>
      <c r="I316" s="66">
        <v>34.6008</v>
      </c>
      <c r="J316" s="66">
        <v>30.702</v>
      </c>
      <c r="K316" s="81">
        <f t="shared" si="2"/>
        <v>7.8112</v>
      </c>
      <c r="L316" s="81">
        <f t="shared" si="3"/>
        <v>3.9124</v>
      </c>
    </row>
    <row r="317">
      <c r="A317" s="82">
        <v>44655.0</v>
      </c>
      <c r="B317" s="82">
        <v>44655.0</v>
      </c>
      <c r="C317" s="66">
        <v>2013.0</v>
      </c>
      <c r="D317" s="66" t="s">
        <v>203</v>
      </c>
      <c r="E317" s="66">
        <v>0.0</v>
      </c>
      <c r="F317" s="66" t="s">
        <v>204</v>
      </c>
      <c r="G317" s="66">
        <f t="shared" si="9"/>
        <v>0</v>
      </c>
      <c r="H317" s="66">
        <v>26.355</v>
      </c>
      <c r="I317" s="66">
        <v>26.9731</v>
      </c>
      <c r="J317" s="66">
        <v>26.5619</v>
      </c>
      <c r="K317" s="81">
        <f t="shared" si="2"/>
        <v>0.6181</v>
      </c>
      <c r="L317" s="81">
        <f t="shared" si="3"/>
        <v>0.2069</v>
      </c>
    </row>
    <row r="318">
      <c r="A318" s="82">
        <v>44655.0</v>
      </c>
      <c r="B318" s="82">
        <v>44655.0</v>
      </c>
      <c r="C318" s="66">
        <v>2004.0</v>
      </c>
      <c r="D318" s="66" t="s">
        <v>203</v>
      </c>
      <c r="E318" s="66">
        <v>0.0</v>
      </c>
      <c r="F318" s="66" t="s">
        <v>205</v>
      </c>
      <c r="G318" s="66">
        <f t="shared" si="9"/>
        <v>0</v>
      </c>
      <c r="H318" s="66">
        <v>26.6971</v>
      </c>
      <c r="I318" s="66">
        <v>34.1899</v>
      </c>
      <c r="J318" s="66">
        <v>30.1322</v>
      </c>
      <c r="K318" s="81">
        <f t="shared" si="2"/>
        <v>7.4928</v>
      </c>
      <c r="L318" s="81">
        <f t="shared" si="3"/>
        <v>3.4351</v>
      </c>
    </row>
    <row r="319">
      <c r="A319" s="82">
        <v>44655.0</v>
      </c>
      <c r="B319" s="82">
        <v>44655.0</v>
      </c>
      <c r="C319" s="66">
        <v>2093.0</v>
      </c>
      <c r="D319" s="66" t="s">
        <v>203</v>
      </c>
      <c r="E319" s="66">
        <v>1.0</v>
      </c>
      <c r="F319" s="66" t="s">
        <v>205</v>
      </c>
      <c r="G319" s="66">
        <f t="shared" si="9"/>
        <v>0</v>
      </c>
      <c r="H319" s="66">
        <v>26.3433</v>
      </c>
      <c r="I319" s="66">
        <v>31.0835</v>
      </c>
      <c r="J319" s="66">
        <v>29.0988</v>
      </c>
      <c r="K319" s="81">
        <f t="shared" si="2"/>
        <v>4.7402</v>
      </c>
      <c r="L319" s="81">
        <f t="shared" si="3"/>
        <v>2.7555</v>
      </c>
    </row>
    <row r="320">
      <c r="A320" s="82">
        <v>44655.0</v>
      </c>
      <c r="B320" s="82">
        <v>44655.0</v>
      </c>
      <c r="C320" s="66">
        <v>2091.0</v>
      </c>
      <c r="D320" s="66" t="s">
        <v>203</v>
      </c>
      <c r="E320" s="66">
        <v>1.0</v>
      </c>
      <c r="F320" s="66" t="s">
        <v>204</v>
      </c>
      <c r="G320" s="66">
        <f t="shared" si="9"/>
        <v>0</v>
      </c>
      <c r="H320" s="66">
        <v>25.9205</v>
      </c>
      <c r="I320" s="66">
        <v>27.571</v>
      </c>
      <c r="J320" s="66">
        <v>26.5655</v>
      </c>
      <c r="K320" s="81">
        <f t="shared" si="2"/>
        <v>1.6505</v>
      </c>
      <c r="L320" s="81">
        <f t="shared" si="3"/>
        <v>0.645</v>
      </c>
    </row>
    <row r="321">
      <c r="A321" s="82">
        <v>44655.0</v>
      </c>
      <c r="B321" s="82">
        <v>44655.0</v>
      </c>
      <c r="C321" s="66">
        <v>2031.0</v>
      </c>
      <c r="D321" s="66" t="s">
        <v>58</v>
      </c>
      <c r="E321" s="66">
        <v>0.0</v>
      </c>
      <c r="F321" s="66" t="s">
        <v>205</v>
      </c>
      <c r="G321" s="66">
        <f t="shared" si="9"/>
        <v>0</v>
      </c>
      <c r="H321" s="66">
        <v>15.5202</v>
      </c>
      <c r="I321" s="66">
        <v>15.8781</v>
      </c>
      <c r="J321" s="66">
        <v>15.8775</v>
      </c>
      <c r="K321" s="81">
        <f t="shared" si="2"/>
        <v>0.3579</v>
      </c>
      <c r="L321" s="81">
        <f t="shared" si="3"/>
        <v>0.3573</v>
      </c>
    </row>
    <row r="322">
      <c r="A322" s="82">
        <v>44655.0</v>
      </c>
      <c r="B322" s="82">
        <v>44655.0</v>
      </c>
      <c r="C322" s="66">
        <v>2013.0</v>
      </c>
      <c r="D322" s="66" t="s">
        <v>203</v>
      </c>
      <c r="E322" s="66">
        <v>0.0</v>
      </c>
      <c r="F322" s="66" t="s">
        <v>205</v>
      </c>
      <c r="G322" s="66">
        <f t="shared" si="9"/>
        <v>0</v>
      </c>
      <c r="H322" s="66">
        <v>26.4542</v>
      </c>
      <c r="I322" s="66">
        <v>29.4439</v>
      </c>
      <c r="J322" s="66">
        <v>27.4593</v>
      </c>
      <c r="K322" s="81">
        <f t="shared" si="2"/>
        <v>2.9897</v>
      </c>
      <c r="L322" s="81">
        <f t="shared" si="3"/>
        <v>1.0051</v>
      </c>
    </row>
    <row r="323">
      <c r="A323" s="82">
        <v>44655.0</v>
      </c>
      <c r="B323" s="82">
        <v>44655.0</v>
      </c>
      <c r="C323" s="66">
        <v>2092.0</v>
      </c>
      <c r="D323" s="66" t="s">
        <v>203</v>
      </c>
      <c r="E323" s="66">
        <v>0.0</v>
      </c>
      <c r="F323" s="66" t="s">
        <v>204</v>
      </c>
      <c r="G323" s="66">
        <f t="shared" si="9"/>
        <v>0</v>
      </c>
      <c r="H323" s="66">
        <v>25.1796</v>
      </c>
      <c r="I323" s="66">
        <v>25.4185</v>
      </c>
      <c r="J323" s="66">
        <v>25.2479</v>
      </c>
      <c r="K323" s="81">
        <f t="shared" si="2"/>
        <v>0.2389</v>
      </c>
      <c r="L323" s="81">
        <f t="shared" si="3"/>
        <v>0.0683</v>
      </c>
    </row>
    <row r="324">
      <c r="A324" s="82">
        <v>44655.0</v>
      </c>
      <c r="B324" s="82">
        <v>44655.0</v>
      </c>
      <c r="C324" s="66">
        <v>2026.0</v>
      </c>
      <c r="D324" s="66" t="s">
        <v>203</v>
      </c>
      <c r="E324" s="66">
        <v>0.0</v>
      </c>
      <c r="F324" s="66" t="s">
        <v>205</v>
      </c>
      <c r="G324" s="66">
        <f t="shared" si="9"/>
        <v>0</v>
      </c>
      <c r="H324" s="66">
        <v>25.7074</v>
      </c>
      <c r="I324" s="66">
        <v>27.9593</v>
      </c>
      <c r="J324" s="66">
        <v>26.759</v>
      </c>
      <c r="K324" s="81">
        <f t="shared" si="2"/>
        <v>2.2519</v>
      </c>
      <c r="L324" s="81">
        <f t="shared" si="3"/>
        <v>1.0516</v>
      </c>
    </row>
    <row r="325">
      <c r="A325" s="82">
        <v>44655.0</v>
      </c>
      <c r="B325" s="82">
        <v>44655.0</v>
      </c>
      <c r="C325" s="66">
        <v>2013.0</v>
      </c>
      <c r="D325" s="66" t="s">
        <v>203</v>
      </c>
      <c r="E325" s="66">
        <v>1.0</v>
      </c>
      <c r="F325" s="66" t="s">
        <v>204</v>
      </c>
      <c r="G325" s="66">
        <f t="shared" si="9"/>
        <v>0</v>
      </c>
      <c r="H325" s="66">
        <v>25.6237</v>
      </c>
      <c r="I325" s="66">
        <v>28.488</v>
      </c>
      <c r="J325" s="66">
        <v>26.8815</v>
      </c>
      <c r="K325" s="81">
        <f t="shared" si="2"/>
        <v>2.8643</v>
      </c>
      <c r="L325" s="81">
        <f t="shared" si="3"/>
        <v>1.2578</v>
      </c>
    </row>
    <row r="326">
      <c r="A326" s="82">
        <v>44655.0</v>
      </c>
      <c r="B326" s="82">
        <v>44655.0</v>
      </c>
      <c r="C326" s="66">
        <v>2022.0</v>
      </c>
      <c r="D326" s="66" t="s">
        <v>203</v>
      </c>
      <c r="E326" s="66">
        <v>0.0</v>
      </c>
      <c r="F326" s="66" t="s">
        <v>205</v>
      </c>
      <c r="G326" s="66">
        <f t="shared" si="9"/>
        <v>0</v>
      </c>
      <c r="H326" s="66">
        <v>26.1673</v>
      </c>
      <c r="I326" s="66">
        <v>31.6713</v>
      </c>
      <c r="J326" s="66">
        <v>28.7058</v>
      </c>
      <c r="K326" s="81">
        <f t="shared" si="2"/>
        <v>5.504</v>
      </c>
      <c r="L326" s="81">
        <f t="shared" si="3"/>
        <v>2.5385</v>
      </c>
    </row>
    <row r="327">
      <c r="A327" s="82">
        <v>44655.0</v>
      </c>
      <c r="B327" s="82">
        <v>44655.0</v>
      </c>
      <c r="C327" s="66">
        <v>2026.0</v>
      </c>
      <c r="D327" s="66" t="s">
        <v>203</v>
      </c>
      <c r="E327" s="66">
        <v>1.0</v>
      </c>
      <c r="F327" s="66" t="s">
        <v>204</v>
      </c>
      <c r="G327" s="66">
        <f t="shared" si="9"/>
        <v>0</v>
      </c>
      <c r="H327" s="66">
        <v>26.0857</v>
      </c>
      <c r="I327" s="66">
        <v>26.9894</v>
      </c>
      <c r="J327" s="66">
        <v>26.5122</v>
      </c>
      <c r="K327" s="81">
        <f t="shared" si="2"/>
        <v>0.9037</v>
      </c>
      <c r="L327" s="81">
        <f t="shared" si="3"/>
        <v>0.4265</v>
      </c>
    </row>
    <row r="328">
      <c r="A328" s="82">
        <v>44655.0</v>
      </c>
      <c r="B328" s="82">
        <v>44655.0</v>
      </c>
      <c r="C328" s="66">
        <v>1478.0</v>
      </c>
      <c r="D328" s="66" t="s">
        <v>198</v>
      </c>
      <c r="E328" s="66">
        <v>0.0</v>
      </c>
      <c r="F328" s="66" t="s">
        <v>204</v>
      </c>
      <c r="G328" s="66">
        <f t="shared" si="9"/>
        <v>0</v>
      </c>
      <c r="H328" s="66">
        <v>26.5554</v>
      </c>
      <c r="I328" s="66">
        <v>27.4331</v>
      </c>
      <c r="J328" s="66">
        <v>26.7978</v>
      </c>
      <c r="K328" s="81">
        <f t="shared" si="2"/>
        <v>0.8777</v>
      </c>
      <c r="L328" s="81">
        <f t="shared" si="3"/>
        <v>0.2424</v>
      </c>
    </row>
    <row r="329">
      <c r="A329" s="82">
        <v>44655.0</v>
      </c>
      <c r="B329" s="82">
        <v>44655.0</v>
      </c>
      <c r="C329" s="66">
        <v>2012.0</v>
      </c>
      <c r="D329" s="66" t="s">
        <v>198</v>
      </c>
      <c r="E329" s="66">
        <v>1.0</v>
      </c>
      <c r="F329" s="66" t="s">
        <v>204</v>
      </c>
      <c r="G329" s="66">
        <f t="shared" si="9"/>
        <v>0</v>
      </c>
      <c r="H329" s="66">
        <v>26.448</v>
      </c>
      <c r="I329" s="66">
        <v>28.2341</v>
      </c>
      <c r="J329" s="66">
        <v>27.3721</v>
      </c>
      <c r="K329" s="81">
        <f t="shared" si="2"/>
        <v>1.7861</v>
      </c>
      <c r="L329" s="81">
        <f t="shared" si="3"/>
        <v>0.9241</v>
      </c>
    </row>
    <row r="330">
      <c r="A330" s="82">
        <v>44655.0</v>
      </c>
      <c r="B330" s="82">
        <v>44655.0</v>
      </c>
      <c r="C330" s="66">
        <v>2007.0</v>
      </c>
      <c r="D330" s="66" t="s">
        <v>203</v>
      </c>
      <c r="E330" s="66">
        <v>0.0</v>
      </c>
      <c r="F330" s="66" t="s">
        <v>204</v>
      </c>
      <c r="G330" s="66">
        <f t="shared" si="9"/>
        <v>0</v>
      </c>
      <c r="H330" s="66">
        <v>25.4379</v>
      </c>
      <c r="I330" s="66">
        <v>26.1078</v>
      </c>
      <c r="J330" s="66">
        <v>25.7119</v>
      </c>
      <c r="K330" s="81">
        <f t="shared" si="2"/>
        <v>0.6699</v>
      </c>
      <c r="L330" s="81">
        <f t="shared" si="3"/>
        <v>0.274</v>
      </c>
    </row>
    <row r="331">
      <c r="A331" s="82">
        <v>44655.0</v>
      </c>
      <c r="B331" s="82">
        <v>44655.0</v>
      </c>
      <c r="C331" s="66">
        <v>2086.0</v>
      </c>
      <c r="D331" s="66" t="s">
        <v>198</v>
      </c>
      <c r="E331" s="66">
        <v>0.0</v>
      </c>
      <c r="F331" s="66" t="s">
        <v>204</v>
      </c>
      <c r="G331" s="66">
        <v>0.0</v>
      </c>
      <c r="H331" s="66">
        <v>26.5799</v>
      </c>
      <c r="I331" s="66">
        <v>27.1242</v>
      </c>
      <c r="J331" s="66">
        <v>26.7953</v>
      </c>
      <c r="K331" s="81">
        <f t="shared" si="2"/>
        <v>0.5443</v>
      </c>
      <c r="L331" s="81">
        <f t="shared" si="3"/>
        <v>0.2154</v>
      </c>
    </row>
    <row r="332">
      <c r="A332" s="82">
        <v>44655.0</v>
      </c>
      <c r="B332" s="82">
        <v>44655.0</v>
      </c>
      <c r="C332" s="66">
        <v>2008.0</v>
      </c>
      <c r="D332" s="66" t="s">
        <v>203</v>
      </c>
      <c r="E332" s="66">
        <v>1.0</v>
      </c>
      <c r="F332" s="66" t="s">
        <v>204</v>
      </c>
      <c r="G332" s="66">
        <f t="shared" ref="G332:G546" si="10">if(E332="old",1,0)</f>
        <v>0</v>
      </c>
      <c r="H332" s="66">
        <v>26.1334</v>
      </c>
      <c r="I332" s="66">
        <v>27.5978</v>
      </c>
      <c r="J332" s="66">
        <v>26.4768</v>
      </c>
      <c r="K332" s="81">
        <f t="shared" si="2"/>
        <v>1.4644</v>
      </c>
      <c r="L332" s="81">
        <f t="shared" si="3"/>
        <v>0.3434</v>
      </c>
    </row>
    <row r="333">
      <c r="A333" s="82">
        <v>44655.0</v>
      </c>
      <c r="B333" s="82">
        <v>44655.0</v>
      </c>
      <c r="C333" s="66">
        <v>2015.0</v>
      </c>
      <c r="D333" s="66" t="s">
        <v>198</v>
      </c>
      <c r="E333" s="66">
        <v>0.0</v>
      </c>
      <c r="F333" s="66" t="s">
        <v>205</v>
      </c>
      <c r="G333" s="66">
        <f t="shared" si="10"/>
        <v>0</v>
      </c>
      <c r="H333" s="66">
        <v>26.5947</v>
      </c>
      <c r="I333" s="66">
        <v>33.1649</v>
      </c>
      <c r="J333" s="66">
        <v>29.6256</v>
      </c>
      <c r="K333" s="81">
        <f t="shared" si="2"/>
        <v>6.5702</v>
      </c>
      <c r="L333" s="81">
        <f t="shared" si="3"/>
        <v>3.0309</v>
      </c>
    </row>
    <row r="334">
      <c r="A334" s="82">
        <v>44655.0</v>
      </c>
      <c r="B334" s="82">
        <v>44655.0</v>
      </c>
      <c r="C334" s="66">
        <v>2085.0</v>
      </c>
      <c r="D334" s="66" t="s">
        <v>203</v>
      </c>
      <c r="E334" s="66">
        <v>0.0</v>
      </c>
      <c r="F334" s="66" t="s">
        <v>205</v>
      </c>
      <c r="G334" s="66">
        <f t="shared" si="10"/>
        <v>0</v>
      </c>
      <c r="H334" s="66">
        <v>26.0879</v>
      </c>
      <c r="I334" s="66">
        <v>33.7324</v>
      </c>
      <c r="J334" s="66">
        <v>28.9513</v>
      </c>
      <c r="K334" s="81">
        <f t="shared" si="2"/>
        <v>7.6445</v>
      </c>
      <c r="L334" s="81">
        <f t="shared" si="3"/>
        <v>2.8634</v>
      </c>
    </row>
    <row r="335">
      <c r="A335" s="82">
        <v>44655.0</v>
      </c>
      <c r="B335" s="82">
        <v>44655.0</v>
      </c>
      <c r="C335" s="66" t="s">
        <v>211</v>
      </c>
      <c r="D335" s="66" t="s">
        <v>203</v>
      </c>
      <c r="E335" s="66">
        <v>0.0</v>
      </c>
      <c r="F335" s="66" t="s">
        <v>199</v>
      </c>
      <c r="G335" s="66">
        <f t="shared" si="10"/>
        <v>0</v>
      </c>
      <c r="H335" s="66">
        <v>26.5227</v>
      </c>
      <c r="I335" s="66">
        <v>30.1783</v>
      </c>
      <c r="J335" s="66">
        <v>27.6461</v>
      </c>
      <c r="K335" s="81">
        <f t="shared" si="2"/>
        <v>3.6556</v>
      </c>
      <c r="L335" s="81">
        <f t="shared" si="3"/>
        <v>1.1234</v>
      </c>
    </row>
    <row r="336">
      <c r="A336" s="82">
        <v>44655.0</v>
      </c>
      <c r="B336" s="82">
        <v>44655.0</v>
      </c>
      <c r="C336" s="66">
        <v>2007.0</v>
      </c>
      <c r="D336" s="66" t="s">
        <v>203</v>
      </c>
      <c r="E336" s="66">
        <v>0.0</v>
      </c>
      <c r="F336" s="66" t="s">
        <v>205</v>
      </c>
      <c r="G336" s="66">
        <f t="shared" si="10"/>
        <v>0</v>
      </c>
      <c r="H336" s="66">
        <v>26.4962</v>
      </c>
      <c r="I336" s="66">
        <v>32.144</v>
      </c>
      <c r="J336" s="66">
        <v>29.3995</v>
      </c>
      <c r="K336" s="81">
        <f t="shared" si="2"/>
        <v>5.6478</v>
      </c>
      <c r="L336" s="81">
        <f t="shared" si="3"/>
        <v>2.9033</v>
      </c>
    </row>
    <row r="337">
      <c r="A337" s="82">
        <v>44655.0</v>
      </c>
      <c r="B337" s="82">
        <v>44655.0</v>
      </c>
      <c r="C337" s="66">
        <v>2012.0</v>
      </c>
      <c r="D337" s="66" t="s">
        <v>198</v>
      </c>
      <c r="E337" s="66">
        <v>0.0</v>
      </c>
      <c r="F337" s="66" t="s">
        <v>204</v>
      </c>
      <c r="G337" s="66">
        <f t="shared" si="10"/>
        <v>0</v>
      </c>
      <c r="H337" s="66">
        <v>16.123</v>
      </c>
      <c r="I337" s="66">
        <v>16.4875</v>
      </c>
      <c r="J337" s="66">
        <v>16.2351</v>
      </c>
      <c r="K337" s="81">
        <f t="shared" si="2"/>
        <v>0.3645</v>
      </c>
      <c r="L337" s="81">
        <f t="shared" si="3"/>
        <v>0.1121</v>
      </c>
    </row>
    <row r="338">
      <c r="A338" s="82">
        <v>44655.0</v>
      </c>
      <c r="B338" s="82">
        <v>44655.0</v>
      </c>
      <c r="C338" s="66">
        <v>2004.0</v>
      </c>
      <c r="D338" s="66" t="s">
        <v>203</v>
      </c>
      <c r="E338" s="66">
        <v>1.0</v>
      </c>
      <c r="F338" s="66" t="s">
        <v>204</v>
      </c>
      <c r="G338" s="66">
        <f t="shared" si="10"/>
        <v>0</v>
      </c>
      <c r="H338" s="66">
        <v>25.8023</v>
      </c>
      <c r="I338" s="66">
        <v>27.4389</v>
      </c>
      <c r="J338" s="66">
        <v>26.5635</v>
      </c>
      <c r="K338" s="81">
        <f t="shared" si="2"/>
        <v>1.6366</v>
      </c>
      <c r="L338" s="81">
        <f t="shared" si="3"/>
        <v>0.7612</v>
      </c>
    </row>
    <row r="339">
      <c r="A339" s="82">
        <v>44655.0</v>
      </c>
      <c r="B339" s="82">
        <v>44655.0</v>
      </c>
      <c r="C339" s="66">
        <v>2030.0</v>
      </c>
      <c r="D339" s="66" t="s">
        <v>203</v>
      </c>
      <c r="E339" s="66">
        <v>0.0</v>
      </c>
      <c r="F339" s="66" t="s">
        <v>204</v>
      </c>
      <c r="G339" s="66">
        <f t="shared" si="10"/>
        <v>0</v>
      </c>
      <c r="H339" s="66">
        <v>26.4899</v>
      </c>
      <c r="I339" s="66">
        <v>27.2006</v>
      </c>
      <c r="J339" s="66">
        <v>26.7677</v>
      </c>
      <c r="K339" s="81">
        <f t="shared" si="2"/>
        <v>0.7107</v>
      </c>
      <c r="L339" s="81">
        <f t="shared" si="3"/>
        <v>0.2778</v>
      </c>
    </row>
    <row r="340">
      <c r="A340" s="82">
        <v>44655.0</v>
      </c>
      <c r="B340" s="82">
        <v>44655.0</v>
      </c>
      <c r="C340" s="66">
        <v>2087.0</v>
      </c>
      <c r="D340" s="66" t="s">
        <v>198</v>
      </c>
      <c r="E340" s="66">
        <v>0.0</v>
      </c>
      <c r="F340" s="66" t="s">
        <v>205</v>
      </c>
      <c r="G340" s="66">
        <f t="shared" si="10"/>
        <v>0</v>
      </c>
      <c r="H340" s="66">
        <v>25.9988</v>
      </c>
      <c r="I340" s="66">
        <v>31.9758</v>
      </c>
      <c r="J340" s="66">
        <v>28.3327</v>
      </c>
      <c r="K340" s="81">
        <f t="shared" si="2"/>
        <v>5.977</v>
      </c>
      <c r="L340" s="81">
        <f t="shared" si="3"/>
        <v>2.3339</v>
      </c>
    </row>
    <row r="341">
      <c r="A341" s="82">
        <v>44655.0</v>
      </c>
      <c r="B341" s="82">
        <v>44655.0</v>
      </c>
      <c r="C341" s="66">
        <v>2012.0</v>
      </c>
      <c r="D341" s="66" t="s">
        <v>198</v>
      </c>
      <c r="E341" s="66">
        <v>0.0</v>
      </c>
      <c r="F341" s="66" t="s">
        <v>205</v>
      </c>
      <c r="G341" s="66">
        <f t="shared" si="10"/>
        <v>0</v>
      </c>
      <c r="H341" s="66">
        <v>25.365</v>
      </c>
      <c r="I341" s="66">
        <v>29.7704</v>
      </c>
      <c r="J341" s="66">
        <v>27.07</v>
      </c>
      <c r="K341" s="81">
        <f t="shared" si="2"/>
        <v>4.4054</v>
      </c>
      <c r="L341" s="81">
        <f t="shared" si="3"/>
        <v>1.705</v>
      </c>
    </row>
    <row r="342">
      <c r="A342" s="82">
        <v>44655.0</v>
      </c>
      <c r="B342" s="82">
        <v>44655.0</v>
      </c>
      <c r="C342" s="66">
        <v>2023.0</v>
      </c>
      <c r="D342" s="66" t="s">
        <v>203</v>
      </c>
      <c r="E342" s="66">
        <v>0.0</v>
      </c>
      <c r="F342" s="66" t="s">
        <v>204</v>
      </c>
      <c r="G342" s="66">
        <f t="shared" si="10"/>
        <v>0</v>
      </c>
      <c r="H342" s="66">
        <v>15.9682</v>
      </c>
      <c r="I342" s="66">
        <v>16.3341</v>
      </c>
      <c r="J342" s="66">
        <v>16.2189</v>
      </c>
      <c r="K342" s="81">
        <f t="shared" si="2"/>
        <v>0.3659</v>
      </c>
      <c r="L342" s="81">
        <f t="shared" si="3"/>
        <v>0.2507</v>
      </c>
    </row>
    <row r="343">
      <c r="A343" s="82">
        <v>44655.0</v>
      </c>
      <c r="B343" s="82">
        <v>44655.0</v>
      </c>
      <c r="C343" s="66">
        <v>2021.0</v>
      </c>
      <c r="D343" s="66" t="s">
        <v>203</v>
      </c>
      <c r="E343" s="66">
        <v>0.0</v>
      </c>
      <c r="F343" s="66" t="s">
        <v>204</v>
      </c>
      <c r="G343" s="66">
        <f t="shared" si="10"/>
        <v>0</v>
      </c>
      <c r="H343" s="66">
        <v>25.801</v>
      </c>
      <c r="I343" s="66">
        <v>26.3042</v>
      </c>
      <c r="J343" s="66">
        <v>25.9944</v>
      </c>
      <c r="K343" s="81">
        <f t="shared" si="2"/>
        <v>0.5032</v>
      </c>
      <c r="L343" s="81">
        <f t="shared" si="3"/>
        <v>0.1934</v>
      </c>
    </row>
    <row r="344">
      <c r="A344" s="82">
        <v>44655.0</v>
      </c>
      <c r="B344" s="82">
        <v>44655.0</v>
      </c>
      <c r="C344" s="66">
        <v>2006.0</v>
      </c>
      <c r="D344" s="66" t="s">
        <v>203</v>
      </c>
      <c r="E344" s="66">
        <v>1.0</v>
      </c>
      <c r="F344" s="66" t="s">
        <v>204</v>
      </c>
      <c r="G344" s="66">
        <f t="shared" si="10"/>
        <v>0</v>
      </c>
      <c r="H344" s="66">
        <v>25.75</v>
      </c>
      <c r="I344" s="66">
        <v>27.149</v>
      </c>
      <c r="J344" s="66">
        <v>26.2043</v>
      </c>
      <c r="K344" s="81">
        <f t="shared" si="2"/>
        <v>1.399</v>
      </c>
      <c r="L344" s="81">
        <f t="shared" si="3"/>
        <v>0.4543</v>
      </c>
    </row>
    <row r="345">
      <c r="A345" s="82">
        <v>44655.0</v>
      </c>
      <c r="B345" s="82">
        <v>44655.0</v>
      </c>
      <c r="C345" s="66">
        <v>2092.0</v>
      </c>
      <c r="D345" s="66" t="s">
        <v>203</v>
      </c>
      <c r="E345" s="66">
        <v>1.0</v>
      </c>
      <c r="F345" s="66" t="s">
        <v>204</v>
      </c>
      <c r="G345" s="66">
        <f t="shared" si="10"/>
        <v>0</v>
      </c>
      <c r="H345" s="66">
        <v>26.1284</v>
      </c>
      <c r="I345" s="66">
        <v>26.683</v>
      </c>
      <c r="J345" s="66">
        <v>26.5907</v>
      </c>
      <c r="K345" s="81">
        <f t="shared" si="2"/>
        <v>0.5546</v>
      </c>
      <c r="L345" s="81">
        <f t="shared" si="3"/>
        <v>0.4623</v>
      </c>
    </row>
    <row r="346">
      <c r="A346" s="82">
        <v>44655.0</v>
      </c>
      <c r="B346" s="82">
        <v>44655.0</v>
      </c>
      <c r="C346" s="66">
        <v>2090.0</v>
      </c>
      <c r="D346" s="66" t="s">
        <v>203</v>
      </c>
      <c r="E346" s="66">
        <v>0.0</v>
      </c>
      <c r="F346" s="66" t="s">
        <v>204</v>
      </c>
      <c r="G346" s="66">
        <f t="shared" si="10"/>
        <v>0</v>
      </c>
      <c r="H346" s="66">
        <v>26.0638</v>
      </c>
      <c r="I346" s="66">
        <v>26.846</v>
      </c>
      <c r="J346" s="66">
        <v>26.1948</v>
      </c>
      <c r="K346" s="81">
        <f t="shared" si="2"/>
        <v>0.7822</v>
      </c>
      <c r="L346" s="81">
        <f t="shared" si="3"/>
        <v>0.131</v>
      </c>
      <c r="N346" s="66" t="s">
        <v>210</v>
      </c>
    </row>
    <row r="347">
      <c r="A347" s="82">
        <v>44655.0</v>
      </c>
      <c r="B347" s="82">
        <v>44655.0</v>
      </c>
      <c r="C347" s="66">
        <v>2089.0</v>
      </c>
      <c r="D347" s="66" t="s">
        <v>203</v>
      </c>
      <c r="E347" s="66">
        <v>1.0</v>
      </c>
      <c r="F347" s="66" t="s">
        <v>204</v>
      </c>
      <c r="G347" s="66">
        <f t="shared" si="10"/>
        <v>0</v>
      </c>
      <c r="H347" s="66">
        <v>26.2535</v>
      </c>
      <c r="I347" s="66">
        <v>27.4205</v>
      </c>
      <c r="J347" s="66">
        <v>27.0992</v>
      </c>
      <c r="K347" s="81">
        <f t="shared" si="2"/>
        <v>1.167</v>
      </c>
      <c r="L347" s="81">
        <f t="shared" si="3"/>
        <v>0.8457</v>
      </c>
    </row>
    <row r="348">
      <c r="A348" s="82">
        <v>44655.0</v>
      </c>
      <c r="B348" s="82">
        <v>44655.0</v>
      </c>
      <c r="C348" s="66">
        <v>2020.0</v>
      </c>
      <c r="D348" s="66" t="s">
        <v>203</v>
      </c>
      <c r="E348" s="66">
        <v>0.0</v>
      </c>
      <c r="F348" s="66" t="s">
        <v>204</v>
      </c>
      <c r="G348" s="66">
        <f t="shared" si="10"/>
        <v>0</v>
      </c>
      <c r="H348" s="66">
        <v>15.5764</v>
      </c>
      <c r="I348" s="66">
        <v>17.1744</v>
      </c>
      <c r="J348" s="66">
        <v>16.0264</v>
      </c>
      <c r="K348" s="81">
        <f t="shared" si="2"/>
        <v>1.598</v>
      </c>
      <c r="L348" s="81">
        <f t="shared" si="3"/>
        <v>0.45</v>
      </c>
    </row>
    <row r="349">
      <c r="A349" s="82">
        <v>44655.0</v>
      </c>
      <c r="B349" s="82">
        <v>44655.0</v>
      </c>
      <c r="C349" s="66">
        <v>2024.0</v>
      </c>
      <c r="D349" s="66" t="s">
        <v>198</v>
      </c>
      <c r="E349" s="66">
        <v>0.0</v>
      </c>
      <c r="F349" s="66" t="s">
        <v>205</v>
      </c>
      <c r="G349" s="66">
        <f t="shared" si="10"/>
        <v>0</v>
      </c>
      <c r="H349" s="66">
        <v>16.4334</v>
      </c>
      <c r="I349" s="66">
        <v>23.4646</v>
      </c>
      <c r="J349" s="66">
        <v>19.685</v>
      </c>
      <c r="K349" s="81">
        <f t="shared" si="2"/>
        <v>7.0312</v>
      </c>
      <c r="L349" s="81">
        <f t="shared" si="3"/>
        <v>3.2516</v>
      </c>
    </row>
    <row r="350">
      <c r="A350" s="82">
        <v>44655.0</v>
      </c>
      <c r="B350" s="82">
        <v>44655.0</v>
      </c>
      <c r="C350" s="66">
        <v>2012.0</v>
      </c>
      <c r="D350" s="66" t="s">
        <v>203</v>
      </c>
      <c r="E350" s="66">
        <v>0.0</v>
      </c>
      <c r="F350" s="66" t="s">
        <v>204</v>
      </c>
      <c r="G350" s="66">
        <f t="shared" si="10"/>
        <v>0</v>
      </c>
      <c r="H350" s="66">
        <v>26.4005</v>
      </c>
      <c r="I350" s="66">
        <v>27.052</v>
      </c>
      <c r="J350" s="66">
        <v>26.6439</v>
      </c>
      <c r="K350" s="81">
        <f t="shared" si="2"/>
        <v>0.6515</v>
      </c>
      <c r="L350" s="81">
        <f t="shared" si="3"/>
        <v>0.2434</v>
      </c>
    </row>
    <row r="351">
      <c r="A351" s="82">
        <v>44655.0</v>
      </c>
      <c r="B351" s="82">
        <v>44655.0</v>
      </c>
      <c r="C351" s="66">
        <v>2092.0</v>
      </c>
      <c r="D351" s="66" t="s">
        <v>203</v>
      </c>
      <c r="E351" s="66">
        <v>0.0</v>
      </c>
      <c r="F351" s="66" t="s">
        <v>205</v>
      </c>
      <c r="G351" s="66">
        <f t="shared" si="10"/>
        <v>0</v>
      </c>
      <c r="H351" s="66">
        <v>26.241</v>
      </c>
      <c r="I351" s="66">
        <v>26.2698</v>
      </c>
      <c r="J351" s="66">
        <v>26.416</v>
      </c>
      <c r="K351" s="81">
        <f t="shared" si="2"/>
        <v>0.0288</v>
      </c>
      <c r="L351" s="81">
        <f t="shared" si="3"/>
        <v>0.175</v>
      </c>
    </row>
    <row r="352">
      <c r="A352" s="82">
        <v>44655.0</v>
      </c>
      <c r="B352" s="82">
        <v>44655.0</v>
      </c>
      <c r="C352" s="66">
        <v>2020.0</v>
      </c>
      <c r="D352" s="66" t="s">
        <v>203</v>
      </c>
      <c r="E352" s="66">
        <v>1.0</v>
      </c>
      <c r="F352" s="66" t="s">
        <v>204</v>
      </c>
      <c r="G352" s="66">
        <f t="shared" si="10"/>
        <v>0</v>
      </c>
      <c r="H352" s="66">
        <v>15.0691</v>
      </c>
      <c r="I352" s="66">
        <v>15.9741</v>
      </c>
      <c r="J352" s="66">
        <v>15.4491</v>
      </c>
      <c r="K352" s="81">
        <f t="shared" si="2"/>
        <v>0.905</v>
      </c>
      <c r="L352" s="81">
        <f t="shared" si="3"/>
        <v>0.38</v>
      </c>
    </row>
    <row r="353">
      <c r="A353" s="82">
        <v>44655.0</v>
      </c>
      <c r="B353" s="82">
        <v>44655.0</v>
      </c>
      <c r="C353" s="66">
        <v>2087.0</v>
      </c>
      <c r="D353" s="66" t="s">
        <v>198</v>
      </c>
      <c r="E353" s="66">
        <v>1.0</v>
      </c>
      <c r="F353" s="66" t="s">
        <v>204</v>
      </c>
      <c r="G353" s="66">
        <f t="shared" si="10"/>
        <v>0</v>
      </c>
      <c r="H353" s="66">
        <v>15.5214</v>
      </c>
      <c r="I353" s="66">
        <v>17.2327</v>
      </c>
      <c r="J353" s="66">
        <v>16.3588</v>
      </c>
      <c r="K353" s="81">
        <f t="shared" si="2"/>
        <v>1.7113</v>
      </c>
      <c r="L353" s="81">
        <f t="shared" si="3"/>
        <v>0.8374</v>
      </c>
    </row>
    <row r="354">
      <c r="A354" s="82">
        <v>44655.0</v>
      </c>
      <c r="B354" s="82">
        <v>44655.0</v>
      </c>
      <c r="C354" s="66">
        <v>2014.0</v>
      </c>
      <c r="D354" s="66" t="s">
        <v>203</v>
      </c>
      <c r="E354" s="66">
        <v>0.0</v>
      </c>
      <c r="F354" s="66" t="s">
        <v>205</v>
      </c>
      <c r="G354" s="66">
        <f t="shared" si="10"/>
        <v>0</v>
      </c>
      <c r="H354" s="66">
        <v>25.9805</v>
      </c>
      <c r="I354" s="66">
        <v>30.6716</v>
      </c>
      <c r="J354" s="66">
        <v>27.7759</v>
      </c>
      <c r="K354" s="81">
        <f t="shared" si="2"/>
        <v>4.6911</v>
      </c>
      <c r="L354" s="81">
        <f t="shared" si="3"/>
        <v>1.7954</v>
      </c>
    </row>
    <row r="355">
      <c r="A355" s="82">
        <v>44655.0</v>
      </c>
      <c r="B355" s="82">
        <v>44655.0</v>
      </c>
      <c r="C355" s="66">
        <v>2088.0</v>
      </c>
      <c r="D355" s="66" t="s">
        <v>198</v>
      </c>
      <c r="E355" s="66">
        <v>0.0</v>
      </c>
      <c r="F355" s="66" t="s">
        <v>205</v>
      </c>
      <c r="G355" s="66">
        <f t="shared" si="10"/>
        <v>0</v>
      </c>
      <c r="H355" s="66">
        <v>26.1487</v>
      </c>
      <c r="I355" s="66">
        <v>34.5424</v>
      </c>
      <c r="J355" s="66">
        <v>29.7305</v>
      </c>
      <c r="K355" s="81">
        <f t="shared" si="2"/>
        <v>8.3937</v>
      </c>
      <c r="L355" s="81">
        <f t="shared" si="3"/>
        <v>3.5818</v>
      </c>
    </row>
    <row r="356">
      <c r="A356" s="82">
        <v>44655.0</v>
      </c>
      <c r="B356" s="82">
        <v>44655.0</v>
      </c>
      <c r="C356" s="66">
        <v>2006.0</v>
      </c>
      <c r="D356" s="66" t="s">
        <v>203</v>
      </c>
      <c r="E356" s="66">
        <v>0.0</v>
      </c>
      <c r="F356" s="66" t="s">
        <v>204</v>
      </c>
      <c r="G356" s="66">
        <f t="shared" si="10"/>
        <v>0</v>
      </c>
      <c r="H356" s="66">
        <v>25.6212</v>
      </c>
      <c r="I356" s="66">
        <v>27.1918</v>
      </c>
      <c r="J356" s="66">
        <v>26.199</v>
      </c>
      <c r="K356" s="81">
        <f t="shared" si="2"/>
        <v>1.5706</v>
      </c>
      <c r="L356" s="81">
        <f t="shared" si="3"/>
        <v>0.5778</v>
      </c>
    </row>
    <row r="357">
      <c r="A357" s="82">
        <v>44655.0</v>
      </c>
      <c r="B357" s="82">
        <v>44655.0</v>
      </c>
      <c r="C357" s="66">
        <v>2004.0</v>
      </c>
      <c r="D357" s="66" t="s">
        <v>203</v>
      </c>
      <c r="E357" s="66">
        <v>0.0</v>
      </c>
      <c r="F357" s="66" t="s">
        <v>204</v>
      </c>
      <c r="G357" s="66">
        <f t="shared" si="10"/>
        <v>0</v>
      </c>
      <c r="H357" s="66">
        <v>25.7796</v>
      </c>
      <c r="I357" s="66">
        <v>27.6005</v>
      </c>
      <c r="J357" s="66">
        <v>26.3041</v>
      </c>
      <c r="K357" s="81">
        <f t="shared" si="2"/>
        <v>1.8209</v>
      </c>
      <c r="L357" s="81">
        <f t="shared" si="3"/>
        <v>0.5245</v>
      </c>
    </row>
    <row r="358">
      <c r="A358" s="82">
        <v>44655.0</v>
      </c>
      <c r="B358" s="82">
        <v>44655.0</v>
      </c>
      <c r="C358" s="66">
        <v>2027.0</v>
      </c>
      <c r="D358" s="66" t="s">
        <v>203</v>
      </c>
      <c r="E358" s="66">
        <v>0.0</v>
      </c>
      <c r="F358" s="66" t="s">
        <v>204</v>
      </c>
      <c r="G358" s="66">
        <f t="shared" si="10"/>
        <v>0</v>
      </c>
      <c r="H358" s="66">
        <v>15.9872</v>
      </c>
      <c r="I358" s="66">
        <v>16.0457</v>
      </c>
      <c r="J358" s="66">
        <v>16.1743</v>
      </c>
      <c r="K358" s="81">
        <f t="shared" si="2"/>
        <v>0.0585</v>
      </c>
      <c r="L358" s="81">
        <f t="shared" si="3"/>
        <v>0.1871</v>
      </c>
    </row>
    <row r="359">
      <c r="A359" s="82">
        <v>44655.0</v>
      </c>
      <c r="B359" s="82">
        <v>44655.0</v>
      </c>
      <c r="C359" s="66">
        <v>2029.0</v>
      </c>
      <c r="D359" s="66" t="s">
        <v>203</v>
      </c>
      <c r="E359" s="66">
        <v>0.0</v>
      </c>
      <c r="F359" s="66" t="s">
        <v>205</v>
      </c>
      <c r="G359" s="66">
        <f t="shared" si="10"/>
        <v>0</v>
      </c>
      <c r="H359" s="66">
        <v>26.5727</v>
      </c>
      <c r="I359" s="66">
        <v>31.8425</v>
      </c>
      <c r="J359" s="66">
        <v>28.9837</v>
      </c>
      <c r="K359" s="81">
        <f t="shared" si="2"/>
        <v>5.2698</v>
      </c>
      <c r="L359" s="81">
        <f t="shared" si="3"/>
        <v>2.411</v>
      </c>
    </row>
    <row r="360">
      <c r="A360" s="82">
        <v>44655.0</v>
      </c>
      <c r="B360" s="82">
        <v>44655.0</v>
      </c>
      <c r="C360" s="66">
        <v>1478.0</v>
      </c>
      <c r="D360" s="66" t="s">
        <v>198</v>
      </c>
      <c r="E360" s="66">
        <v>0.0</v>
      </c>
      <c r="F360" s="66" t="s">
        <v>205</v>
      </c>
      <c r="G360" s="66">
        <f t="shared" si="10"/>
        <v>0</v>
      </c>
      <c r="H360" s="66">
        <v>26.2341</v>
      </c>
      <c r="I360" s="66">
        <v>30.8709</v>
      </c>
      <c r="J360" s="66">
        <v>27.93</v>
      </c>
      <c r="K360" s="81">
        <f t="shared" si="2"/>
        <v>4.6368</v>
      </c>
      <c r="L360" s="81">
        <f t="shared" si="3"/>
        <v>1.6959</v>
      </c>
    </row>
    <row r="361">
      <c r="A361" s="82">
        <v>44655.0</v>
      </c>
      <c r="B361" s="82">
        <v>44655.0</v>
      </c>
      <c r="C361" s="66">
        <v>2030.0</v>
      </c>
      <c r="D361" s="66" t="s">
        <v>203</v>
      </c>
      <c r="E361" s="66">
        <v>0.0</v>
      </c>
      <c r="F361" s="66" t="s">
        <v>205</v>
      </c>
      <c r="G361" s="66">
        <f t="shared" si="10"/>
        <v>0</v>
      </c>
      <c r="H361" s="66">
        <v>26.2133</v>
      </c>
      <c r="I361" s="66">
        <v>30.2608</v>
      </c>
      <c r="J361" s="66">
        <v>28.386</v>
      </c>
      <c r="K361" s="81">
        <f t="shared" si="2"/>
        <v>4.0475</v>
      </c>
      <c r="L361" s="81">
        <f t="shared" si="3"/>
        <v>2.1727</v>
      </c>
    </row>
    <row r="362">
      <c r="A362" s="82">
        <v>44655.0</v>
      </c>
      <c r="B362" s="82">
        <v>44655.0</v>
      </c>
      <c r="C362" s="66">
        <v>2023.0</v>
      </c>
      <c r="D362" s="66" t="s">
        <v>203</v>
      </c>
      <c r="E362" s="66">
        <v>1.0</v>
      </c>
      <c r="F362" s="66" t="s">
        <v>204</v>
      </c>
      <c r="G362" s="66">
        <f t="shared" si="10"/>
        <v>0</v>
      </c>
      <c r="H362" s="66">
        <v>15.5906</v>
      </c>
      <c r="I362" s="66">
        <v>17.5118</v>
      </c>
      <c r="J362" s="66">
        <v>16.4826</v>
      </c>
      <c r="K362" s="81">
        <f t="shared" si="2"/>
        <v>1.9212</v>
      </c>
      <c r="L362" s="81">
        <f t="shared" si="3"/>
        <v>0.892</v>
      </c>
    </row>
    <row r="363">
      <c r="A363" s="82">
        <v>44655.0</v>
      </c>
      <c r="B363" s="82">
        <v>44655.0</v>
      </c>
      <c r="C363" s="66">
        <v>2031.0</v>
      </c>
      <c r="D363" s="66" t="s">
        <v>58</v>
      </c>
      <c r="E363" s="66">
        <v>1.0</v>
      </c>
      <c r="F363" s="66" t="s">
        <v>204</v>
      </c>
      <c r="G363" s="66">
        <f t="shared" si="10"/>
        <v>0</v>
      </c>
      <c r="H363" s="66">
        <v>16.0709</v>
      </c>
      <c r="I363" s="66">
        <v>17.0325</v>
      </c>
      <c r="J363" s="66">
        <v>16.5871</v>
      </c>
      <c r="K363" s="81">
        <f t="shared" si="2"/>
        <v>0.9616</v>
      </c>
      <c r="L363" s="81">
        <f t="shared" si="3"/>
        <v>0.5162</v>
      </c>
    </row>
    <row r="364">
      <c r="A364" s="82">
        <v>44655.0</v>
      </c>
      <c r="B364" s="82">
        <v>44655.0</v>
      </c>
      <c r="C364" s="66">
        <v>2014.0</v>
      </c>
      <c r="D364" s="66" t="s">
        <v>203</v>
      </c>
      <c r="E364" s="66">
        <v>0.0</v>
      </c>
      <c r="F364" s="66" t="s">
        <v>204</v>
      </c>
      <c r="G364" s="66">
        <f t="shared" si="10"/>
        <v>0</v>
      </c>
      <c r="H364" s="66">
        <v>25.6721</v>
      </c>
      <c r="I364" s="66">
        <v>27.1611</v>
      </c>
      <c r="J364" s="66">
        <v>26.0321</v>
      </c>
      <c r="K364" s="81">
        <f t="shared" si="2"/>
        <v>1.489</v>
      </c>
      <c r="L364" s="81">
        <f t="shared" si="3"/>
        <v>0.36</v>
      </c>
    </row>
    <row r="365">
      <c r="A365" s="82">
        <v>44655.0</v>
      </c>
      <c r="B365" s="82">
        <v>44655.0</v>
      </c>
      <c r="C365" s="66">
        <v>2087.0</v>
      </c>
      <c r="D365" s="66" t="s">
        <v>203</v>
      </c>
      <c r="E365" s="66">
        <v>0.0</v>
      </c>
      <c r="F365" s="66" t="s">
        <v>205</v>
      </c>
      <c r="G365" s="66">
        <f t="shared" si="10"/>
        <v>0</v>
      </c>
      <c r="H365" s="66">
        <v>25.9665</v>
      </c>
      <c r="I365" s="66">
        <v>30.7655</v>
      </c>
      <c r="J365" s="66">
        <v>27.4922</v>
      </c>
      <c r="K365" s="81">
        <f t="shared" si="2"/>
        <v>4.799</v>
      </c>
      <c r="L365" s="81">
        <f t="shared" si="3"/>
        <v>1.5257</v>
      </c>
      <c r="N365" s="66" t="s">
        <v>210</v>
      </c>
    </row>
    <row r="366">
      <c r="A366" s="82">
        <v>44655.0</v>
      </c>
      <c r="B366" s="82">
        <v>44655.0</v>
      </c>
      <c r="C366" s="66">
        <v>2030.0</v>
      </c>
      <c r="D366" s="66" t="s">
        <v>203</v>
      </c>
      <c r="E366" s="66">
        <v>1.0</v>
      </c>
      <c r="F366" s="66" t="s">
        <v>204</v>
      </c>
      <c r="G366" s="66">
        <f t="shared" si="10"/>
        <v>0</v>
      </c>
      <c r="H366" s="66">
        <v>26.5608</v>
      </c>
      <c r="I366" s="66">
        <v>27.307</v>
      </c>
      <c r="J366" s="66">
        <v>27.0814</v>
      </c>
      <c r="K366" s="81">
        <f t="shared" si="2"/>
        <v>0.7462</v>
      </c>
      <c r="L366" s="81">
        <f t="shared" si="3"/>
        <v>0.5206</v>
      </c>
    </row>
    <row r="367">
      <c r="A367" s="82">
        <v>44655.0</v>
      </c>
      <c r="B367" s="82">
        <v>44655.0</v>
      </c>
      <c r="C367" s="66">
        <v>2026.0</v>
      </c>
      <c r="D367" s="66" t="s">
        <v>203</v>
      </c>
      <c r="E367" s="66">
        <v>1.0</v>
      </c>
      <c r="F367" s="66" t="s">
        <v>204</v>
      </c>
      <c r="G367" s="66">
        <f t="shared" si="10"/>
        <v>0</v>
      </c>
      <c r="H367" s="66">
        <v>25.778</v>
      </c>
      <c r="I367" s="66">
        <v>25.5233</v>
      </c>
      <c r="J367" s="66">
        <v>25.8525</v>
      </c>
      <c r="K367" s="81">
        <f t="shared" si="2"/>
        <v>-0.2547</v>
      </c>
      <c r="L367" s="81">
        <f t="shared" si="3"/>
        <v>0.0745</v>
      </c>
    </row>
    <row r="368">
      <c r="A368" s="82">
        <v>44655.0</v>
      </c>
      <c r="B368" s="82">
        <v>44655.0</v>
      </c>
      <c r="C368" s="66">
        <v>2089.0</v>
      </c>
      <c r="D368" s="66" t="s">
        <v>203</v>
      </c>
      <c r="E368" s="66">
        <v>1.0</v>
      </c>
      <c r="F368" s="66" t="s">
        <v>205</v>
      </c>
      <c r="G368" s="66">
        <f t="shared" si="10"/>
        <v>0</v>
      </c>
      <c r="H368" s="66">
        <v>26.3168</v>
      </c>
      <c r="I368" s="66">
        <v>34.2164</v>
      </c>
      <c r="J368" s="66">
        <v>30.4407</v>
      </c>
      <c r="K368" s="81">
        <f t="shared" si="2"/>
        <v>7.8996</v>
      </c>
      <c r="L368" s="81">
        <f t="shared" si="3"/>
        <v>4.1239</v>
      </c>
    </row>
    <row r="369">
      <c r="A369" s="82">
        <v>44655.0</v>
      </c>
      <c r="B369" s="82">
        <v>44655.0</v>
      </c>
      <c r="C369" s="66">
        <v>2029.0</v>
      </c>
      <c r="D369" s="66" t="s">
        <v>203</v>
      </c>
      <c r="E369" s="66">
        <v>1.0</v>
      </c>
      <c r="F369" s="66" t="s">
        <v>205</v>
      </c>
      <c r="G369" s="66">
        <f t="shared" si="10"/>
        <v>0</v>
      </c>
      <c r="H369" s="66">
        <v>26.1683</v>
      </c>
      <c r="I369" s="66">
        <v>28.5474</v>
      </c>
      <c r="J369" s="66">
        <v>27.626</v>
      </c>
      <c r="K369" s="81">
        <f t="shared" si="2"/>
        <v>2.3791</v>
      </c>
      <c r="L369" s="81">
        <f t="shared" si="3"/>
        <v>1.4577</v>
      </c>
    </row>
    <row r="370">
      <c r="A370" s="82">
        <v>44655.0</v>
      </c>
      <c r="B370" s="82">
        <v>44655.0</v>
      </c>
      <c r="C370" s="66">
        <v>2014.0</v>
      </c>
      <c r="D370" s="66" t="s">
        <v>198</v>
      </c>
      <c r="E370" s="66">
        <v>0.0</v>
      </c>
      <c r="F370" s="66" t="s">
        <v>204</v>
      </c>
      <c r="G370" s="66">
        <f t="shared" si="10"/>
        <v>0</v>
      </c>
      <c r="H370" s="66">
        <v>15.1975</v>
      </c>
      <c r="I370" s="66">
        <v>16.1871</v>
      </c>
      <c r="J370" s="66">
        <v>15.5179</v>
      </c>
      <c r="K370" s="81">
        <f t="shared" si="2"/>
        <v>0.9896</v>
      </c>
      <c r="L370" s="81">
        <f t="shared" si="3"/>
        <v>0.3204</v>
      </c>
    </row>
    <row r="371">
      <c r="A371" s="82">
        <v>44655.0</v>
      </c>
      <c r="B371" s="82">
        <v>44655.0</v>
      </c>
      <c r="C371" s="66">
        <v>2375.0</v>
      </c>
      <c r="D371" s="66" t="s">
        <v>203</v>
      </c>
      <c r="E371" s="66">
        <v>0.0</v>
      </c>
      <c r="F371" s="66" t="s">
        <v>204</v>
      </c>
      <c r="G371" s="66">
        <f t="shared" si="10"/>
        <v>0</v>
      </c>
      <c r="H371" s="66">
        <v>0.0</v>
      </c>
      <c r="I371" s="66">
        <v>0.8258</v>
      </c>
      <c r="J371" s="66">
        <v>0.3627</v>
      </c>
      <c r="K371" s="81">
        <f t="shared" si="2"/>
        <v>0.8258</v>
      </c>
      <c r="L371" s="81">
        <f t="shared" si="3"/>
        <v>0.3627</v>
      </c>
      <c r="M371" s="66">
        <v>2.0</v>
      </c>
    </row>
    <row r="372">
      <c r="A372" s="82">
        <v>44655.0</v>
      </c>
      <c r="B372" s="82">
        <v>44655.0</v>
      </c>
      <c r="C372" s="66">
        <v>2365.0</v>
      </c>
      <c r="D372" s="66" t="s">
        <v>203</v>
      </c>
      <c r="E372" s="66">
        <v>1.0</v>
      </c>
      <c r="F372" s="66" t="s">
        <v>204</v>
      </c>
      <c r="G372" s="66">
        <f t="shared" si="10"/>
        <v>0</v>
      </c>
      <c r="H372" s="66">
        <v>6.2595</v>
      </c>
      <c r="I372" s="66">
        <v>6.6278</v>
      </c>
      <c r="J372" s="66">
        <v>6.4695</v>
      </c>
      <c r="K372" s="81">
        <f t="shared" si="2"/>
        <v>0.3683</v>
      </c>
      <c r="L372" s="81">
        <f t="shared" si="3"/>
        <v>0.21</v>
      </c>
      <c r="M372" s="66">
        <v>5.0</v>
      </c>
    </row>
    <row r="373">
      <c r="A373" s="82">
        <v>44655.0</v>
      </c>
      <c r="B373" s="82">
        <v>44655.0</v>
      </c>
      <c r="C373" s="66">
        <v>2008.0</v>
      </c>
      <c r="D373" s="66" t="s">
        <v>198</v>
      </c>
      <c r="E373" s="66">
        <v>0.0</v>
      </c>
      <c r="F373" s="66" t="s">
        <v>204</v>
      </c>
      <c r="G373" s="66">
        <f t="shared" si="10"/>
        <v>0</v>
      </c>
      <c r="H373" s="66">
        <v>6.3135</v>
      </c>
      <c r="I373" s="66">
        <v>6.6152</v>
      </c>
      <c r="J373" s="66">
        <v>6.455</v>
      </c>
      <c r="K373" s="81">
        <f t="shared" si="2"/>
        <v>0.3017</v>
      </c>
      <c r="L373" s="81">
        <f t="shared" si="3"/>
        <v>0.1415</v>
      </c>
      <c r="M373" s="66">
        <v>4.0</v>
      </c>
    </row>
    <row r="374">
      <c r="A374" s="82">
        <v>44655.0</v>
      </c>
      <c r="B374" s="82">
        <v>44655.0</v>
      </c>
      <c r="C374" s="66">
        <v>2346.0</v>
      </c>
      <c r="D374" s="66" t="s">
        <v>203</v>
      </c>
      <c r="E374" s="66">
        <v>1.0</v>
      </c>
      <c r="F374" s="66" t="s">
        <v>204</v>
      </c>
      <c r="G374" s="66">
        <f t="shared" si="10"/>
        <v>0</v>
      </c>
      <c r="H374" s="66">
        <v>0.0</v>
      </c>
      <c r="I374" s="66">
        <v>1.9624</v>
      </c>
      <c r="J374" s="66">
        <v>1.115</v>
      </c>
      <c r="K374" s="81">
        <f t="shared" si="2"/>
        <v>1.9624</v>
      </c>
      <c r="L374" s="81">
        <f t="shared" si="3"/>
        <v>1.115</v>
      </c>
      <c r="M374" s="66">
        <v>3.0</v>
      </c>
    </row>
    <row r="375">
      <c r="A375" s="82">
        <v>44655.0</v>
      </c>
      <c r="B375" s="82">
        <v>44655.0</v>
      </c>
      <c r="C375" s="66">
        <v>2370.0</v>
      </c>
      <c r="D375" s="66" t="s">
        <v>203</v>
      </c>
      <c r="E375" s="66">
        <v>1.0</v>
      </c>
      <c r="F375" s="66" t="s">
        <v>204</v>
      </c>
      <c r="G375" s="66">
        <f t="shared" si="10"/>
        <v>0</v>
      </c>
      <c r="H375" s="66">
        <v>7.2323</v>
      </c>
      <c r="I375" s="66">
        <v>8.1719</v>
      </c>
      <c r="J375" s="66">
        <v>7.7907</v>
      </c>
      <c r="K375" s="81">
        <f t="shared" si="2"/>
        <v>0.9396</v>
      </c>
      <c r="L375" s="81">
        <f t="shared" si="3"/>
        <v>0.5584</v>
      </c>
      <c r="M375" s="66">
        <v>4.0</v>
      </c>
    </row>
    <row r="376">
      <c r="A376" s="82">
        <v>44655.0</v>
      </c>
      <c r="B376" s="82">
        <v>44655.0</v>
      </c>
      <c r="C376" s="66">
        <v>2367.0</v>
      </c>
      <c r="D376" s="66" t="s">
        <v>203</v>
      </c>
      <c r="E376" s="66">
        <v>0.0</v>
      </c>
      <c r="F376" s="66" t="s">
        <v>204</v>
      </c>
      <c r="G376" s="66">
        <f t="shared" si="10"/>
        <v>0</v>
      </c>
      <c r="H376" s="66">
        <v>7.3321</v>
      </c>
      <c r="I376" s="66">
        <v>7.5258</v>
      </c>
      <c r="J376" s="66">
        <v>7.4291</v>
      </c>
      <c r="K376" s="81">
        <f t="shared" si="2"/>
        <v>0.1937</v>
      </c>
      <c r="L376" s="81">
        <f t="shared" si="3"/>
        <v>0.097</v>
      </c>
      <c r="M376" s="66">
        <v>2.0</v>
      </c>
    </row>
    <row r="377">
      <c r="A377" s="82">
        <v>44655.0</v>
      </c>
      <c r="B377" s="82">
        <v>44655.0</v>
      </c>
      <c r="C377" s="66">
        <v>2378.0</v>
      </c>
      <c r="D377" s="66" t="s">
        <v>203</v>
      </c>
      <c r="E377" s="66">
        <v>1.0</v>
      </c>
      <c r="F377" s="66" t="s">
        <v>204</v>
      </c>
      <c r="G377" s="66">
        <f t="shared" si="10"/>
        <v>0</v>
      </c>
      <c r="H377" s="66">
        <v>6.253</v>
      </c>
      <c r="I377" s="66">
        <v>6.7492</v>
      </c>
      <c r="J377" s="66">
        <v>6.528</v>
      </c>
      <c r="K377" s="81">
        <f t="shared" si="2"/>
        <v>0.4962</v>
      </c>
      <c r="L377" s="81">
        <f t="shared" si="3"/>
        <v>0.275</v>
      </c>
      <c r="M377" s="66">
        <v>5.0</v>
      </c>
    </row>
    <row r="378">
      <c r="A378" s="82">
        <v>44655.0</v>
      </c>
      <c r="B378" s="82">
        <v>44655.0</v>
      </c>
      <c r="C378" s="66">
        <v>2347.0</v>
      </c>
      <c r="D378" s="66" t="s">
        <v>203</v>
      </c>
      <c r="E378" s="66">
        <v>0.0</v>
      </c>
      <c r="F378" s="66" t="s">
        <v>204</v>
      </c>
      <c r="G378" s="66">
        <f t="shared" si="10"/>
        <v>0</v>
      </c>
      <c r="H378" s="66">
        <v>0.0</v>
      </c>
      <c r="I378" s="66">
        <v>0.3039</v>
      </c>
      <c r="J378" s="66">
        <v>0.1391</v>
      </c>
      <c r="K378" s="81">
        <f t="shared" si="2"/>
        <v>0.3039</v>
      </c>
      <c r="L378" s="81">
        <f t="shared" si="3"/>
        <v>0.1391</v>
      </c>
      <c r="M378" s="66">
        <v>1.0</v>
      </c>
    </row>
    <row r="379">
      <c r="A379" s="82">
        <v>44655.0</v>
      </c>
      <c r="B379" s="82">
        <v>44655.0</v>
      </c>
      <c r="C379" s="66">
        <v>2024.0</v>
      </c>
      <c r="D379" s="66" t="s">
        <v>198</v>
      </c>
      <c r="E379" s="66">
        <v>1.0</v>
      </c>
      <c r="F379" s="66" t="s">
        <v>204</v>
      </c>
      <c r="G379" s="66">
        <f t="shared" si="10"/>
        <v>0</v>
      </c>
      <c r="H379" s="66">
        <v>7.3805</v>
      </c>
      <c r="I379" s="66">
        <v>8.551</v>
      </c>
      <c r="J379" s="66">
        <f>7.3805+0.661</f>
        <v>8.0415</v>
      </c>
      <c r="K379" s="81">
        <f t="shared" si="2"/>
        <v>1.1705</v>
      </c>
      <c r="L379" s="81">
        <f t="shared" si="3"/>
        <v>0.661</v>
      </c>
      <c r="M379" s="66">
        <v>1.0</v>
      </c>
    </row>
    <row r="380">
      <c r="A380" s="82">
        <v>44655.0</v>
      </c>
      <c r="B380" s="82">
        <v>44655.0</v>
      </c>
      <c r="C380" s="66">
        <v>2007.0</v>
      </c>
      <c r="D380" s="66" t="s">
        <v>198</v>
      </c>
      <c r="E380" s="66">
        <v>0.0</v>
      </c>
      <c r="F380" s="66" t="s">
        <v>204</v>
      </c>
      <c r="G380" s="66">
        <f t="shared" si="10"/>
        <v>0</v>
      </c>
      <c r="H380" s="66">
        <v>7.4519</v>
      </c>
      <c r="I380" s="66">
        <v>8.029</v>
      </c>
      <c r="J380" s="66">
        <v>7.7303</v>
      </c>
      <c r="K380" s="81">
        <f t="shared" si="2"/>
        <v>0.5771</v>
      </c>
      <c r="L380" s="81">
        <f t="shared" si="3"/>
        <v>0.2784</v>
      </c>
      <c r="M380" s="66">
        <v>1.0</v>
      </c>
    </row>
    <row r="381">
      <c r="A381" s="82">
        <v>44655.0</v>
      </c>
      <c r="B381" s="82">
        <v>44655.0</v>
      </c>
      <c r="C381" s="66">
        <v>2009.0</v>
      </c>
      <c r="D381" s="66" t="s">
        <v>203</v>
      </c>
      <c r="E381" s="66">
        <v>1.0</v>
      </c>
      <c r="F381" s="66" t="s">
        <v>204</v>
      </c>
      <c r="G381" s="66">
        <f t="shared" si="10"/>
        <v>0</v>
      </c>
      <c r="H381" s="66">
        <v>7.2321</v>
      </c>
      <c r="I381" s="66">
        <v>8.0003</v>
      </c>
      <c r="J381" s="66">
        <v>7.677</v>
      </c>
      <c r="K381" s="81">
        <f t="shared" si="2"/>
        <v>0.7682</v>
      </c>
      <c r="L381" s="81">
        <f t="shared" si="3"/>
        <v>0.4449</v>
      </c>
      <c r="M381" s="66">
        <v>3.0</v>
      </c>
    </row>
    <row r="382">
      <c r="A382" s="82">
        <v>44655.0</v>
      </c>
      <c r="B382" s="82">
        <v>44655.0</v>
      </c>
      <c r="C382" s="66">
        <v>2383.0</v>
      </c>
      <c r="D382" s="66" t="s">
        <v>203</v>
      </c>
      <c r="E382" s="66">
        <v>0.0</v>
      </c>
      <c r="F382" s="66" t="s">
        <v>204</v>
      </c>
      <c r="G382" s="66">
        <f t="shared" si="10"/>
        <v>0</v>
      </c>
      <c r="H382" s="66">
        <v>6.3215</v>
      </c>
      <c r="I382" s="66">
        <v>6.8467</v>
      </c>
      <c r="J382" s="66">
        <v>6.5938</v>
      </c>
      <c r="K382" s="81">
        <f t="shared" si="2"/>
        <v>0.5252</v>
      </c>
      <c r="L382" s="81">
        <f t="shared" si="3"/>
        <v>0.2723</v>
      </c>
      <c r="M382" s="66">
        <v>5.0</v>
      </c>
    </row>
    <row r="383">
      <c r="A383" s="82">
        <v>44655.0</v>
      </c>
      <c r="B383" s="82">
        <v>44655.0</v>
      </c>
      <c r="C383" s="66">
        <v>2331.0</v>
      </c>
      <c r="D383" s="66" t="s">
        <v>203</v>
      </c>
      <c r="E383" s="66">
        <v>1.0</v>
      </c>
      <c r="F383" s="66" t="s">
        <v>204</v>
      </c>
      <c r="G383" s="66">
        <f t="shared" si="10"/>
        <v>0</v>
      </c>
      <c r="H383" s="66">
        <v>7.292</v>
      </c>
      <c r="I383" s="66">
        <v>8.8126</v>
      </c>
      <c r="J383" s="81">
        <f>7.292+0.99</f>
        <v>8.282</v>
      </c>
      <c r="K383" s="81">
        <f t="shared" si="2"/>
        <v>1.5206</v>
      </c>
      <c r="L383" s="81">
        <f t="shared" si="3"/>
        <v>0.99</v>
      </c>
      <c r="M383" s="66">
        <v>2.0</v>
      </c>
    </row>
    <row r="384">
      <c r="A384" s="82">
        <v>44655.0</v>
      </c>
      <c r="B384" s="82">
        <v>44655.0</v>
      </c>
      <c r="C384" s="66">
        <v>2009.0</v>
      </c>
      <c r="D384" s="66" t="s">
        <v>203</v>
      </c>
      <c r="E384" s="66">
        <v>0.0</v>
      </c>
      <c r="F384" s="66" t="s">
        <v>204</v>
      </c>
      <c r="G384" s="66">
        <f t="shared" si="10"/>
        <v>0</v>
      </c>
      <c r="H384" s="66">
        <v>7.2742</v>
      </c>
      <c r="I384" s="66">
        <v>7.7457</v>
      </c>
      <c r="J384" s="66">
        <v>7.495</v>
      </c>
      <c r="K384" s="81">
        <f t="shared" si="2"/>
        <v>0.4715</v>
      </c>
      <c r="L384" s="81">
        <f t="shared" si="3"/>
        <v>0.2208</v>
      </c>
      <c r="M384" s="66">
        <v>3.0</v>
      </c>
    </row>
    <row r="385">
      <c r="A385" s="82">
        <v>44655.0</v>
      </c>
      <c r="B385" s="82">
        <v>44655.0</v>
      </c>
      <c r="C385" s="66">
        <v>2347.0</v>
      </c>
      <c r="D385" s="66" t="s">
        <v>203</v>
      </c>
      <c r="E385" s="66">
        <v>0.0</v>
      </c>
      <c r="F385" s="66" t="s">
        <v>204</v>
      </c>
      <c r="G385" s="66">
        <f t="shared" si="10"/>
        <v>0</v>
      </c>
      <c r="H385" s="66">
        <v>7.3073</v>
      </c>
      <c r="I385" s="66">
        <v>8.2822</v>
      </c>
      <c r="J385" s="66">
        <v>7.891</v>
      </c>
      <c r="K385" s="81">
        <f t="shared" si="2"/>
        <v>0.9749</v>
      </c>
      <c r="L385" s="81">
        <f t="shared" si="3"/>
        <v>0.5837</v>
      </c>
      <c r="M385" s="66">
        <v>4.0</v>
      </c>
    </row>
    <row r="386">
      <c r="A386" s="82">
        <v>44655.0</v>
      </c>
      <c r="B386" s="82">
        <v>44655.0</v>
      </c>
      <c r="C386" s="66">
        <v>2092.0</v>
      </c>
      <c r="D386" s="66" t="s">
        <v>198</v>
      </c>
      <c r="E386" s="66">
        <v>1.0</v>
      </c>
      <c r="F386" s="66" t="s">
        <v>204</v>
      </c>
      <c r="G386" s="66">
        <f t="shared" si="10"/>
        <v>0</v>
      </c>
      <c r="H386" s="66">
        <v>6.285</v>
      </c>
      <c r="I386" s="66">
        <v>7.0055</v>
      </c>
      <c r="J386" s="66">
        <v>6.6945</v>
      </c>
      <c r="K386" s="81">
        <f t="shared" si="2"/>
        <v>0.7205</v>
      </c>
      <c r="L386" s="81">
        <f t="shared" si="3"/>
        <v>0.4095</v>
      </c>
      <c r="M386" s="66">
        <v>2.0</v>
      </c>
    </row>
    <row r="387">
      <c r="A387" s="82">
        <v>44655.0</v>
      </c>
      <c r="B387" s="82">
        <v>44655.0</v>
      </c>
      <c r="C387" s="66">
        <v>2301.0</v>
      </c>
      <c r="D387" s="66" t="s">
        <v>203</v>
      </c>
      <c r="E387" s="66">
        <v>1.0</v>
      </c>
      <c r="F387" s="66" t="s">
        <v>204</v>
      </c>
      <c r="G387" s="66">
        <f t="shared" si="10"/>
        <v>0</v>
      </c>
      <c r="H387" s="66">
        <v>6.2929</v>
      </c>
      <c r="I387" s="66">
        <v>7.5623</v>
      </c>
      <c r="J387" s="66">
        <v>7.0771</v>
      </c>
      <c r="K387" s="81">
        <f t="shared" si="2"/>
        <v>1.2694</v>
      </c>
      <c r="L387" s="81">
        <f t="shared" si="3"/>
        <v>0.7842</v>
      </c>
      <c r="M387" s="66">
        <v>4.0</v>
      </c>
    </row>
    <row r="388">
      <c r="A388" s="82">
        <v>44655.0</v>
      </c>
      <c r="B388" s="82">
        <v>44655.0</v>
      </c>
      <c r="C388" s="66">
        <v>2372.0</v>
      </c>
      <c r="D388" s="66" t="s">
        <v>203</v>
      </c>
      <c r="E388" s="66">
        <v>1.0</v>
      </c>
      <c r="F388" s="66" t="s">
        <v>204</v>
      </c>
      <c r="G388" s="66">
        <f t="shared" si="10"/>
        <v>0</v>
      </c>
      <c r="H388" s="66">
        <v>7.3216</v>
      </c>
      <c r="I388" s="66">
        <v>7.9797</v>
      </c>
      <c r="J388" s="66">
        <v>7.7167</v>
      </c>
      <c r="K388" s="81">
        <f t="shared" si="2"/>
        <v>0.6581</v>
      </c>
      <c r="L388" s="81">
        <f t="shared" si="3"/>
        <v>0.3951</v>
      </c>
      <c r="M388" s="66">
        <v>3.0</v>
      </c>
    </row>
    <row r="389">
      <c r="A389" s="82">
        <v>44655.0</v>
      </c>
      <c r="B389" s="82">
        <v>44655.0</v>
      </c>
      <c r="C389" s="66">
        <v>2024.0</v>
      </c>
      <c r="D389" s="66" t="s">
        <v>198</v>
      </c>
      <c r="E389" s="66">
        <v>0.0</v>
      </c>
      <c r="F389" s="66" t="s">
        <v>204</v>
      </c>
      <c r="G389" s="66">
        <f t="shared" si="10"/>
        <v>0</v>
      </c>
      <c r="H389" s="66">
        <v>7.5075</v>
      </c>
      <c r="I389" s="66">
        <v>8.2267</v>
      </c>
      <c r="J389" s="81">
        <f>7.5075+0.344</f>
        <v>7.8515</v>
      </c>
      <c r="K389" s="81">
        <f t="shared" si="2"/>
        <v>0.7192</v>
      </c>
      <c r="L389" s="81">
        <f t="shared" si="3"/>
        <v>0.344</v>
      </c>
      <c r="M389" s="66">
        <v>1.0</v>
      </c>
    </row>
    <row r="390">
      <c r="A390" s="82">
        <v>44655.0</v>
      </c>
      <c r="B390" s="82">
        <v>44655.0</v>
      </c>
      <c r="C390" s="66">
        <v>2005.0</v>
      </c>
      <c r="D390" s="66" t="s">
        <v>198</v>
      </c>
      <c r="E390" s="66">
        <v>0.0</v>
      </c>
      <c r="F390" s="66" t="s">
        <v>204</v>
      </c>
      <c r="G390" s="66">
        <f t="shared" si="10"/>
        <v>0</v>
      </c>
      <c r="H390" s="66">
        <v>7.365</v>
      </c>
      <c r="I390" s="66">
        <v>8.3053</v>
      </c>
      <c r="J390" s="81">
        <f>7.365+0.432</f>
        <v>7.797</v>
      </c>
      <c r="K390" s="81">
        <f t="shared" si="2"/>
        <v>0.9403</v>
      </c>
      <c r="L390" s="81">
        <f t="shared" si="3"/>
        <v>0.432</v>
      </c>
      <c r="M390" s="66">
        <v>3.0</v>
      </c>
    </row>
    <row r="391">
      <c r="A391" s="82">
        <v>44655.0</v>
      </c>
      <c r="B391" s="82">
        <v>44655.0</v>
      </c>
      <c r="C391" s="66">
        <v>2377.0</v>
      </c>
      <c r="D391" s="66" t="s">
        <v>203</v>
      </c>
      <c r="E391" s="66">
        <v>1.0</v>
      </c>
      <c r="F391" s="66" t="s">
        <v>204</v>
      </c>
      <c r="G391" s="66">
        <f t="shared" si="10"/>
        <v>0</v>
      </c>
      <c r="H391" s="66">
        <v>6.2891</v>
      </c>
      <c r="I391" s="66">
        <v>7.7749</v>
      </c>
      <c r="J391" s="66">
        <v>7.1783</v>
      </c>
      <c r="K391" s="81">
        <f t="shared" si="2"/>
        <v>1.4858</v>
      </c>
      <c r="L391" s="81">
        <f t="shared" si="3"/>
        <v>0.8892</v>
      </c>
      <c r="M391" s="66">
        <v>5.0</v>
      </c>
    </row>
    <row r="392">
      <c r="A392" s="82">
        <v>44655.0</v>
      </c>
      <c r="B392" s="82">
        <v>44655.0</v>
      </c>
      <c r="C392" s="66">
        <v>2092.0</v>
      </c>
      <c r="D392" s="66" t="s">
        <v>198</v>
      </c>
      <c r="E392" s="66">
        <v>0.0</v>
      </c>
      <c r="F392" s="66" t="s">
        <v>205</v>
      </c>
      <c r="G392" s="66">
        <f t="shared" si="10"/>
        <v>0</v>
      </c>
      <c r="H392" s="66">
        <v>7.3491</v>
      </c>
      <c r="I392" s="66">
        <v>8.1659</v>
      </c>
      <c r="J392" s="66">
        <v>7.8198</v>
      </c>
      <c r="K392" s="81">
        <f t="shared" si="2"/>
        <v>0.8168</v>
      </c>
      <c r="L392" s="81">
        <f t="shared" si="3"/>
        <v>0.4707</v>
      </c>
      <c r="M392" s="66">
        <v>4.0</v>
      </c>
    </row>
    <row r="393">
      <c r="A393" s="82">
        <v>44655.0</v>
      </c>
      <c r="B393" s="82">
        <v>44655.0</v>
      </c>
      <c r="C393" s="66">
        <v>2369.0</v>
      </c>
      <c r="D393" s="66" t="s">
        <v>203</v>
      </c>
      <c r="E393" s="66">
        <v>1.0</v>
      </c>
      <c r="F393" s="66" t="s">
        <v>204</v>
      </c>
      <c r="G393" s="66">
        <f t="shared" si="10"/>
        <v>0</v>
      </c>
      <c r="H393" s="66">
        <v>7.3337</v>
      </c>
      <c r="I393" s="66">
        <v>7.5829</v>
      </c>
      <c r="J393" s="66">
        <v>7.486</v>
      </c>
      <c r="K393" s="81">
        <f t="shared" si="2"/>
        <v>0.2492</v>
      </c>
      <c r="L393" s="81">
        <f t="shared" si="3"/>
        <v>0.1523</v>
      </c>
    </row>
    <row r="394">
      <c r="A394" s="82">
        <v>44655.0</v>
      </c>
      <c r="B394" s="82">
        <v>44655.0</v>
      </c>
      <c r="C394" s="66">
        <v>2026.0</v>
      </c>
      <c r="D394" s="66" t="s">
        <v>198</v>
      </c>
      <c r="E394" s="66">
        <v>0.0</v>
      </c>
      <c r="F394" s="66" t="s">
        <v>205</v>
      </c>
      <c r="G394" s="66">
        <f t="shared" si="10"/>
        <v>0</v>
      </c>
      <c r="H394" s="66">
        <v>7.2894</v>
      </c>
      <c r="I394" s="66">
        <v>11.5675</v>
      </c>
      <c r="J394" s="66">
        <v>9.4532</v>
      </c>
      <c r="K394" s="81">
        <f t="shared" si="2"/>
        <v>4.2781</v>
      </c>
      <c r="L394" s="81">
        <f t="shared" si="3"/>
        <v>2.1638</v>
      </c>
      <c r="M394" s="66">
        <v>1.0</v>
      </c>
    </row>
    <row r="395">
      <c r="A395" s="82">
        <v>44655.0</v>
      </c>
      <c r="B395" s="82">
        <v>44655.0</v>
      </c>
      <c r="C395" s="66">
        <v>2385.0</v>
      </c>
      <c r="D395" s="66" t="s">
        <v>198</v>
      </c>
      <c r="E395" s="66">
        <v>0.0</v>
      </c>
      <c r="F395" s="66" t="s">
        <v>205</v>
      </c>
      <c r="G395" s="66">
        <f t="shared" si="10"/>
        <v>0</v>
      </c>
      <c r="H395" s="66">
        <v>7.3443</v>
      </c>
      <c r="I395" s="66">
        <v>13.2131</v>
      </c>
      <c r="J395" s="66">
        <v>9.716</v>
      </c>
      <c r="K395" s="81">
        <f t="shared" si="2"/>
        <v>5.8688</v>
      </c>
      <c r="L395" s="81">
        <f t="shared" si="3"/>
        <v>2.3717</v>
      </c>
    </row>
    <row r="396">
      <c r="A396" s="82">
        <v>44655.0</v>
      </c>
      <c r="B396" s="82">
        <v>44655.0</v>
      </c>
      <c r="C396" s="66">
        <v>2352.0</v>
      </c>
      <c r="D396" s="66" t="s">
        <v>203</v>
      </c>
      <c r="E396" s="66">
        <v>1.0</v>
      </c>
      <c r="F396" s="66" t="s">
        <v>204</v>
      </c>
      <c r="G396" s="66">
        <f t="shared" si="10"/>
        <v>0</v>
      </c>
      <c r="H396" s="66">
        <v>7.3108</v>
      </c>
      <c r="I396" s="66">
        <v>8.1445</v>
      </c>
      <c r="J396" s="66">
        <v>7.853</v>
      </c>
      <c r="K396" s="81">
        <f t="shared" si="2"/>
        <v>0.8337</v>
      </c>
      <c r="L396" s="81">
        <f t="shared" si="3"/>
        <v>0.5422</v>
      </c>
    </row>
    <row r="397">
      <c r="A397" s="82">
        <v>44655.0</v>
      </c>
      <c r="B397" s="82">
        <v>44655.0</v>
      </c>
      <c r="C397" s="66">
        <v>2383.0</v>
      </c>
      <c r="D397" s="66" t="s">
        <v>203</v>
      </c>
      <c r="E397" s="66">
        <v>1.0</v>
      </c>
      <c r="F397" s="66" t="s">
        <v>204</v>
      </c>
      <c r="G397" s="66">
        <f t="shared" si="10"/>
        <v>0</v>
      </c>
      <c r="H397" s="66">
        <v>7.305</v>
      </c>
      <c r="I397" s="66">
        <v>8.8834</v>
      </c>
      <c r="J397" s="66">
        <v>8.1942</v>
      </c>
      <c r="K397" s="81">
        <f t="shared" si="2"/>
        <v>1.5784</v>
      </c>
      <c r="L397" s="81">
        <f t="shared" si="3"/>
        <v>0.8892</v>
      </c>
      <c r="M397" s="66">
        <v>1.0</v>
      </c>
    </row>
    <row r="398">
      <c r="A398" s="82">
        <v>44655.0</v>
      </c>
      <c r="B398" s="82">
        <v>44655.0</v>
      </c>
      <c r="C398" s="66">
        <v>2354.0</v>
      </c>
      <c r="D398" s="66" t="s">
        <v>203</v>
      </c>
      <c r="E398" s="66">
        <v>1.0</v>
      </c>
      <c r="F398" s="66" t="s">
        <v>204</v>
      </c>
      <c r="G398" s="66">
        <f t="shared" si="10"/>
        <v>0</v>
      </c>
      <c r="H398" s="66">
        <v>6.2626</v>
      </c>
      <c r="I398" s="66">
        <v>6.776</v>
      </c>
      <c r="J398" s="66">
        <v>6.5776</v>
      </c>
      <c r="K398" s="81">
        <f t="shared" si="2"/>
        <v>0.5134</v>
      </c>
      <c r="L398" s="81">
        <f t="shared" si="3"/>
        <v>0.315</v>
      </c>
    </row>
    <row r="399">
      <c r="A399" s="82">
        <v>44655.0</v>
      </c>
      <c r="B399" s="82">
        <v>44655.0</v>
      </c>
      <c r="C399" s="66">
        <v>2367.0</v>
      </c>
      <c r="D399" s="66" t="s">
        <v>203</v>
      </c>
      <c r="E399" s="66">
        <v>1.0</v>
      </c>
      <c r="F399" s="66" t="s">
        <v>204</v>
      </c>
      <c r="G399" s="66">
        <f t="shared" si="10"/>
        <v>0</v>
      </c>
      <c r="H399" s="66">
        <v>7.2425</v>
      </c>
      <c r="I399" s="66">
        <v>7.8019</v>
      </c>
      <c r="J399" s="66">
        <v>7.595</v>
      </c>
      <c r="K399" s="81">
        <f t="shared" si="2"/>
        <v>0.5594</v>
      </c>
      <c r="L399" s="81">
        <f t="shared" si="3"/>
        <v>0.3525</v>
      </c>
      <c r="M399" s="66">
        <v>3.0</v>
      </c>
    </row>
    <row r="400">
      <c r="A400" s="82">
        <v>44655.0</v>
      </c>
      <c r="B400" s="82">
        <v>44655.0</v>
      </c>
      <c r="C400" s="66">
        <v>2093.0</v>
      </c>
      <c r="D400" s="66" t="s">
        <v>198</v>
      </c>
      <c r="E400" s="66">
        <v>0.0</v>
      </c>
      <c r="F400" s="66" t="s">
        <v>204</v>
      </c>
      <c r="G400" s="66">
        <f t="shared" si="10"/>
        <v>0</v>
      </c>
      <c r="H400" s="66">
        <v>7.2942</v>
      </c>
      <c r="I400" s="66">
        <v>7.3842</v>
      </c>
      <c r="J400" s="66">
        <v>7.3419</v>
      </c>
      <c r="K400" s="81">
        <f t="shared" si="2"/>
        <v>0.09</v>
      </c>
      <c r="L400" s="81">
        <f t="shared" si="3"/>
        <v>0.0477</v>
      </c>
    </row>
    <row r="401">
      <c r="A401" s="82">
        <v>44655.0</v>
      </c>
      <c r="B401" s="82">
        <v>44655.0</v>
      </c>
      <c r="C401" s="66">
        <v>2352.0</v>
      </c>
      <c r="D401" s="66" t="s">
        <v>203</v>
      </c>
      <c r="E401" s="66">
        <v>0.0</v>
      </c>
      <c r="F401" s="66" t="s">
        <v>204</v>
      </c>
      <c r="G401" s="66">
        <f t="shared" si="10"/>
        <v>0</v>
      </c>
      <c r="H401" s="66">
        <v>6.2655</v>
      </c>
      <c r="I401" s="66">
        <v>6.351</v>
      </c>
      <c r="J401" s="66">
        <v>6.3131</v>
      </c>
      <c r="K401" s="81">
        <f t="shared" si="2"/>
        <v>0.0855</v>
      </c>
      <c r="L401" s="81">
        <f t="shared" si="3"/>
        <v>0.0476</v>
      </c>
      <c r="M401" s="66">
        <v>4.0</v>
      </c>
    </row>
    <row r="402">
      <c r="A402" s="82">
        <v>44655.0</v>
      </c>
      <c r="B402" s="82">
        <v>44655.0</v>
      </c>
      <c r="C402" s="66">
        <v>2384.0</v>
      </c>
      <c r="D402" s="66" t="s">
        <v>203</v>
      </c>
      <c r="E402" s="66">
        <v>0.0</v>
      </c>
      <c r="F402" s="66" t="s">
        <v>204</v>
      </c>
      <c r="G402" s="66">
        <f t="shared" si="10"/>
        <v>0</v>
      </c>
      <c r="H402" s="66">
        <v>7.3028</v>
      </c>
      <c r="I402" s="66">
        <v>7.4372</v>
      </c>
      <c r="J402" s="66">
        <v>7.384</v>
      </c>
      <c r="K402" s="81">
        <f t="shared" si="2"/>
        <v>0.1344</v>
      </c>
      <c r="L402" s="81">
        <f t="shared" si="3"/>
        <v>0.0812</v>
      </c>
    </row>
    <row r="403">
      <c r="A403" s="82">
        <v>44655.0</v>
      </c>
      <c r="B403" s="82">
        <v>44655.0</v>
      </c>
      <c r="C403" s="66">
        <v>2029.0</v>
      </c>
      <c r="D403" s="66" t="s">
        <v>198</v>
      </c>
      <c r="E403" s="66">
        <v>0.0</v>
      </c>
      <c r="F403" s="66" t="s">
        <v>204</v>
      </c>
      <c r="G403" s="66">
        <f t="shared" si="10"/>
        <v>0</v>
      </c>
      <c r="H403" s="66">
        <v>7.3345</v>
      </c>
      <c r="I403" s="66">
        <v>7.6456</v>
      </c>
      <c r="J403" s="66">
        <v>7.492</v>
      </c>
      <c r="K403" s="81">
        <f t="shared" si="2"/>
        <v>0.3111</v>
      </c>
      <c r="L403" s="81">
        <f t="shared" si="3"/>
        <v>0.1575</v>
      </c>
      <c r="M403" s="66">
        <v>4.0</v>
      </c>
    </row>
    <row r="404">
      <c r="A404" s="82">
        <v>44655.0</v>
      </c>
      <c r="B404" s="82">
        <v>44655.0</v>
      </c>
      <c r="C404" s="66">
        <v>2372.0</v>
      </c>
      <c r="D404" s="66" t="s">
        <v>203</v>
      </c>
      <c r="E404" s="66">
        <v>0.0</v>
      </c>
      <c r="F404" s="66" t="s">
        <v>204</v>
      </c>
      <c r="G404" s="66">
        <f t="shared" si="10"/>
        <v>0</v>
      </c>
      <c r="H404" s="66">
        <v>7.2574</v>
      </c>
      <c r="I404" s="66">
        <v>7.6317</v>
      </c>
      <c r="J404" s="66">
        <v>7.4185</v>
      </c>
      <c r="K404" s="81">
        <f t="shared" si="2"/>
        <v>0.3743</v>
      </c>
      <c r="L404" s="81">
        <f t="shared" si="3"/>
        <v>0.1611</v>
      </c>
    </row>
    <row r="405">
      <c r="A405" s="82">
        <v>44655.0</v>
      </c>
      <c r="B405" s="82">
        <v>44655.0</v>
      </c>
      <c r="C405" s="66">
        <v>2376.0</v>
      </c>
      <c r="D405" s="66" t="s">
        <v>203</v>
      </c>
      <c r="E405" s="66">
        <v>1.0</v>
      </c>
      <c r="F405" s="66" t="s">
        <v>204</v>
      </c>
      <c r="G405" s="66">
        <f t="shared" si="10"/>
        <v>0</v>
      </c>
      <c r="H405" s="66">
        <v>0.0</v>
      </c>
      <c r="I405" s="66">
        <v>1.0612</v>
      </c>
      <c r="J405" s="66">
        <v>0.6585</v>
      </c>
      <c r="K405" s="81">
        <f t="shared" si="2"/>
        <v>1.0612</v>
      </c>
      <c r="L405" s="81">
        <f t="shared" si="3"/>
        <v>0.6585</v>
      </c>
    </row>
    <row r="406">
      <c r="A406" s="82">
        <v>44655.0</v>
      </c>
      <c r="B406" s="82">
        <v>44655.0</v>
      </c>
      <c r="C406" s="66">
        <v>2360.0</v>
      </c>
      <c r="D406" s="66" t="s">
        <v>203</v>
      </c>
      <c r="E406" s="66">
        <v>0.0</v>
      </c>
      <c r="F406" s="66" t="s">
        <v>204</v>
      </c>
      <c r="G406" s="66">
        <f t="shared" si="10"/>
        <v>0</v>
      </c>
      <c r="H406" s="66">
        <v>6.3099</v>
      </c>
      <c r="I406" s="66">
        <v>7.0826</v>
      </c>
      <c r="J406" s="66">
        <v>6.7122</v>
      </c>
      <c r="K406" s="81">
        <f t="shared" si="2"/>
        <v>0.7727</v>
      </c>
      <c r="L406" s="81">
        <f t="shared" si="3"/>
        <v>0.4023</v>
      </c>
    </row>
    <row r="407">
      <c r="A407" s="82">
        <v>44655.0</v>
      </c>
      <c r="B407" s="82">
        <v>44655.0</v>
      </c>
      <c r="C407" s="66">
        <v>2011.0</v>
      </c>
      <c r="D407" s="66" t="s">
        <v>203</v>
      </c>
      <c r="E407" s="66">
        <v>1.0</v>
      </c>
      <c r="F407" s="66" t="s">
        <v>204</v>
      </c>
      <c r="G407" s="66">
        <f t="shared" si="10"/>
        <v>0</v>
      </c>
      <c r="H407" s="66">
        <v>0.0</v>
      </c>
      <c r="I407" s="66">
        <v>2.2545</v>
      </c>
      <c r="J407" s="66">
        <v>1.2089</v>
      </c>
      <c r="K407" s="81">
        <f t="shared" si="2"/>
        <v>2.2545</v>
      </c>
      <c r="L407" s="81">
        <f t="shared" si="3"/>
        <v>1.2089</v>
      </c>
      <c r="M407" s="66">
        <v>2.0</v>
      </c>
    </row>
    <row r="408">
      <c r="A408" s="82">
        <v>44655.0</v>
      </c>
      <c r="B408" s="82">
        <v>44655.0</v>
      </c>
      <c r="C408" s="66">
        <v>2379.0</v>
      </c>
      <c r="D408" s="66" t="s">
        <v>203</v>
      </c>
      <c r="E408" s="66">
        <v>0.0</v>
      </c>
      <c r="F408" s="66" t="s">
        <v>204</v>
      </c>
      <c r="G408" s="66">
        <f t="shared" si="10"/>
        <v>0</v>
      </c>
      <c r="H408" s="66">
        <v>0.0</v>
      </c>
      <c r="I408" s="66">
        <v>0.556</v>
      </c>
      <c r="J408" s="66">
        <v>0.2666</v>
      </c>
      <c r="K408" s="81">
        <f t="shared" si="2"/>
        <v>0.556</v>
      </c>
      <c r="L408" s="81">
        <f t="shared" si="3"/>
        <v>0.2666</v>
      </c>
      <c r="M408" s="66">
        <v>1.0</v>
      </c>
    </row>
    <row r="409">
      <c r="A409" s="82">
        <v>44655.0</v>
      </c>
      <c r="B409" s="82">
        <v>44655.0</v>
      </c>
      <c r="C409" s="66">
        <v>2026.0</v>
      </c>
      <c r="D409" s="66" t="s">
        <v>198</v>
      </c>
      <c r="E409" s="66">
        <v>0.0</v>
      </c>
      <c r="F409" s="66" t="s">
        <v>204</v>
      </c>
      <c r="G409" s="66">
        <f t="shared" si="10"/>
        <v>0</v>
      </c>
      <c r="H409" s="66">
        <v>7.3558</v>
      </c>
      <c r="I409" s="66">
        <v>7.8462</v>
      </c>
      <c r="J409" s="66">
        <v>7.6068</v>
      </c>
      <c r="K409" s="81">
        <f t="shared" si="2"/>
        <v>0.4904</v>
      </c>
      <c r="L409" s="81">
        <f t="shared" si="3"/>
        <v>0.251</v>
      </c>
    </row>
    <row r="410">
      <c r="A410" s="82">
        <v>44655.0</v>
      </c>
      <c r="B410" s="82">
        <v>44655.0</v>
      </c>
      <c r="C410" s="66">
        <v>2381.0</v>
      </c>
      <c r="D410" s="66" t="s">
        <v>203</v>
      </c>
      <c r="E410" s="66">
        <v>1.0</v>
      </c>
      <c r="F410" s="66" t="s">
        <v>205</v>
      </c>
      <c r="G410" s="66">
        <f t="shared" si="10"/>
        <v>0</v>
      </c>
      <c r="H410" s="66">
        <v>6.2786</v>
      </c>
      <c r="I410" s="66">
        <v>10.6732</v>
      </c>
      <c r="J410" s="66">
        <v>8.4324</v>
      </c>
      <c r="K410" s="81">
        <f t="shared" si="2"/>
        <v>4.3946</v>
      </c>
      <c r="L410" s="81">
        <f t="shared" si="3"/>
        <v>2.1538</v>
      </c>
    </row>
    <row r="411">
      <c r="A411" s="82">
        <v>44655.0</v>
      </c>
      <c r="B411" s="82">
        <v>44655.0</v>
      </c>
      <c r="C411" s="66">
        <v>2346.0</v>
      </c>
      <c r="D411" s="66" t="s">
        <v>203</v>
      </c>
      <c r="E411" s="66">
        <v>0.0</v>
      </c>
      <c r="F411" s="66" t="s">
        <v>204</v>
      </c>
      <c r="G411" s="66">
        <f t="shared" si="10"/>
        <v>0</v>
      </c>
      <c r="H411" s="66">
        <v>0.0</v>
      </c>
      <c r="I411" s="66">
        <v>0.1513</v>
      </c>
      <c r="J411" s="66">
        <v>0.0762</v>
      </c>
      <c r="K411" s="81">
        <f t="shared" si="2"/>
        <v>0.1513</v>
      </c>
      <c r="L411" s="81">
        <f t="shared" si="3"/>
        <v>0.0762</v>
      </c>
    </row>
    <row r="412">
      <c r="A412" s="82">
        <v>44655.0</v>
      </c>
      <c r="B412" s="82">
        <v>44655.0</v>
      </c>
      <c r="C412" s="66">
        <v>2380.0</v>
      </c>
      <c r="D412" s="66" t="s">
        <v>198</v>
      </c>
      <c r="E412" s="66">
        <v>0.0</v>
      </c>
      <c r="F412" s="66" t="s">
        <v>204</v>
      </c>
      <c r="G412" s="66">
        <f t="shared" si="10"/>
        <v>0</v>
      </c>
      <c r="H412" s="66">
        <v>6.1905</v>
      </c>
      <c r="I412" s="66">
        <v>6.3429</v>
      </c>
      <c r="J412" s="66">
        <v>6.2691</v>
      </c>
      <c r="K412" s="81">
        <f t="shared" si="2"/>
        <v>0.1524</v>
      </c>
      <c r="L412" s="81">
        <f t="shared" si="3"/>
        <v>0.0786</v>
      </c>
    </row>
    <row r="413">
      <c r="A413" s="82">
        <v>44655.0</v>
      </c>
      <c r="B413" s="82">
        <v>44655.0</v>
      </c>
      <c r="C413" s="66">
        <v>2385.0</v>
      </c>
      <c r="D413" s="66" t="s">
        <v>198</v>
      </c>
      <c r="E413" s="66">
        <v>0.0</v>
      </c>
      <c r="F413" s="66" t="s">
        <v>204</v>
      </c>
      <c r="G413" s="66">
        <f t="shared" si="10"/>
        <v>0</v>
      </c>
      <c r="H413" s="66">
        <v>7.3652</v>
      </c>
      <c r="I413" s="66">
        <v>8.1231</v>
      </c>
      <c r="J413" s="66">
        <v>7.6582</v>
      </c>
      <c r="K413" s="81">
        <f t="shared" si="2"/>
        <v>0.7579</v>
      </c>
      <c r="L413" s="81">
        <f t="shared" si="3"/>
        <v>0.293</v>
      </c>
      <c r="M413" s="66">
        <v>3.0</v>
      </c>
    </row>
    <row r="414">
      <c r="A414" s="82">
        <v>44655.0</v>
      </c>
      <c r="B414" s="82">
        <v>44655.0</v>
      </c>
      <c r="C414" s="66">
        <v>2088.0</v>
      </c>
      <c r="D414" s="66" t="s">
        <v>203</v>
      </c>
      <c r="E414" s="66">
        <v>1.0</v>
      </c>
      <c r="F414" s="66" t="s">
        <v>204</v>
      </c>
      <c r="G414" s="66">
        <f t="shared" si="10"/>
        <v>0</v>
      </c>
      <c r="H414" s="66">
        <v>6.303</v>
      </c>
      <c r="I414" s="66">
        <v>6.8733</v>
      </c>
      <c r="J414" s="66">
        <v>6.5814</v>
      </c>
      <c r="K414" s="81">
        <f t="shared" si="2"/>
        <v>0.5703</v>
      </c>
      <c r="L414" s="81">
        <f t="shared" si="3"/>
        <v>0.2784</v>
      </c>
    </row>
    <row r="415">
      <c r="A415" s="82">
        <v>44655.0</v>
      </c>
      <c r="B415" s="82">
        <v>44655.0</v>
      </c>
      <c r="C415" s="66">
        <v>2092.0</v>
      </c>
      <c r="D415" s="66" t="s">
        <v>198</v>
      </c>
      <c r="E415" s="66">
        <v>0.0</v>
      </c>
      <c r="F415" s="66" t="s">
        <v>204</v>
      </c>
      <c r="G415" s="66">
        <f t="shared" si="10"/>
        <v>0</v>
      </c>
      <c r="H415" s="66">
        <v>6.3017</v>
      </c>
      <c r="I415" s="66">
        <v>6.5297</v>
      </c>
      <c r="J415" s="66">
        <v>6.434</v>
      </c>
      <c r="K415" s="81">
        <f t="shared" si="2"/>
        <v>0.228</v>
      </c>
      <c r="L415" s="81">
        <f t="shared" si="3"/>
        <v>0.1323</v>
      </c>
    </row>
    <row r="416">
      <c r="A416" s="82">
        <v>44655.0</v>
      </c>
      <c r="B416" s="82">
        <v>44655.0</v>
      </c>
      <c r="C416" s="66">
        <v>2381.0</v>
      </c>
      <c r="D416" s="66" t="s">
        <v>203</v>
      </c>
      <c r="E416" s="66">
        <v>1.0</v>
      </c>
      <c r="F416" s="66" t="s">
        <v>204</v>
      </c>
      <c r="G416" s="66">
        <f t="shared" si="10"/>
        <v>0</v>
      </c>
      <c r="H416" s="66">
        <v>7.2583</v>
      </c>
      <c r="I416" s="66">
        <v>8.1949</v>
      </c>
      <c r="J416" s="66">
        <v>7.7647</v>
      </c>
      <c r="K416" s="81">
        <f t="shared" si="2"/>
        <v>0.9366</v>
      </c>
      <c r="L416" s="81">
        <f t="shared" si="3"/>
        <v>0.5064</v>
      </c>
    </row>
    <row r="417">
      <c r="A417" s="82">
        <v>44655.0</v>
      </c>
      <c r="B417" s="82">
        <v>44655.0</v>
      </c>
      <c r="C417" s="66">
        <v>2381.0</v>
      </c>
      <c r="D417" s="66" t="s">
        <v>203</v>
      </c>
      <c r="E417" s="66">
        <v>0.0</v>
      </c>
      <c r="F417" s="66" t="s">
        <v>204</v>
      </c>
      <c r="G417" s="66">
        <f t="shared" si="10"/>
        <v>0</v>
      </c>
      <c r="H417" s="66">
        <v>7.3346</v>
      </c>
      <c r="I417" s="66">
        <v>7.6692</v>
      </c>
      <c r="J417" s="66">
        <v>7.4973</v>
      </c>
      <c r="K417" s="81">
        <f t="shared" si="2"/>
        <v>0.3346</v>
      </c>
      <c r="L417" s="81">
        <f t="shared" si="3"/>
        <v>0.1627</v>
      </c>
    </row>
    <row r="418">
      <c r="A418" s="82">
        <v>44655.0</v>
      </c>
      <c r="B418" s="82">
        <v>44655.0</v>
      </c>
      <c r="C418" s="66">
        <v>2382.0</v>
      </c>
      <c r="D418" s="66" t="s">
        <v>203</v>
      </c>
      <c r="E418" s="66">
        <v>0.0</v>
      </c>
      <c r="F418" s="66" t="s">
        <v>204</v>
      </c>
      <c r="G418" s="66">
        <f t="shared" si="10"/>
        <v>0</v>
      </c>
      <c r="H418" s="66">
        <v>0.0</v>
      </c>
      <c r="I418" s="66">
        <v>1.3604</v>
      </c>
      <c r="J418" s="66">
        <v>0.6387</v>
      </c>
      <c r="K418" s="81">
        <f t="shared" si="2"/>
        <v>1.3604</v>
      </c>
      <c r="L418" s="81">
        <f t="shared" si="3"/>
        <v>0.6387</v>
      </c>
    </row>
    <row r="419">
      <c r="A419" s="82">
        <v>44655.0</v>
      </c>
      <c r="B419" s="82">
        <v>44655.0</v>
      </c>
      <c r="C419" s="66">
        <v>2382.0</v>
      </c>
      <c r="D419" s="66" t="s">
        <v>203</v>
      </c>
      <c r="E419" s="66">
        <v>1.0</v>
      </c>
      <c r="F419" s="66" t="s">
        <v>204</v>
      </c>
      <c r="G419" s="66">
        <f t="shared" si="10"/>
        <v>0</v>
      </c>
      <c r="H419" s="66">
        <v>0.0</v>
      </c>
      <c r="I419" s="66">
        <v>1.0719</v>
      </c>
      <c r="J419" s="66">
        <v>0.5559</v>
      </c>
      <c r="K419" s="81">
        <f t="shared" si="2"/>
        <v>1.0719</v>
      </c>
      <c r="L419" s="81">
        <f t="shared" si="3"/>
        <v>0.5559</v>
      </c>
    </row>
    <row r="420">
      <c r="A420" s="82">
        <v>44655.0</v>
      </c>
      <c r="B420" s="82">
        <v>44655.0</v>
      </c>
      <c r="C420" s="66">
        <v>2380.0</v>
      </c>
      <c r="D420" s="66" t="s">
        <v>198</v>
      </c>
      <c r="E420" s="66">
        <v>0.0</v>
      </c>
      <c r="F420" s="66" t="s">
        <v>205</v>
      </c>
      <c r="G420" s="66">
        <f t="shared" si="10"/>
        <v>0</v>
      </c>
      <c r="H420" s="66">
        <v>7.3876</v>
      </c>
      <c r="I420" s="66">
        <v>8.2424</v>
      </c>
      <c r="J420" s="66">
        <v>7.7667</v>
      </c>
      <c r="K420" s="81">
        <f t="shared" si="2"/>
        <v>0.8548</v>
      </c>
      <c r="L420" s="81">
        <f t="shared" si="3"/>
        <v>0.3791</v>
      </c>
    </row>
    <row r="421">
      <c r="A421" s="82">
        <v>44655.0</v>
      </c>
      <c r="B421" s="82">
        <v>44655.0</v>
      </c>
      <c r="C421" s="66">
        <v>2093.0</v>
      </c>
      <c r="D421" s="66" t="s">
        <v>198</v>
      </c>
      <c r="E421" s="66">
        <v>1.0</v>
      </c>
      <c r="F421" s="66" t="s">
        <v>205</v>
      </c>
      <c r="G421" s="66">
        <f t="shared" si="10"/>
        <v>0</v>
      </c>
      <c r="H421" s="66">
        <v>7.5221</v>
      </c>
      <c r="I421" s="66">
        <v>9.8959</v>
      </c>
      <c r="J421" s="66">
        <v>8.9533</v>
      </c>
      <c r="K421" s="81">
        <f t="shared" si="2"/>
        <v>2.3738</v>
      </c>
      <c r="L421" s="81">
        <f t="shared" si="3"/>
        <v>1.4312</v>
      </c>
    </row>
    <row r="422">
      <c r="A422" s="82">
        <v>44655.0</v>
      </c>
      <c r="B422" s="82">
        <v>44655.0</v>
      </c>
      <c r="C422" s="66">
        <v>2385.0</v>
      </c>
      <c r="D422" s="66" t="s">
        <v>198</v>
      </c>
      <c r="E422" s="66">
        <v>1.0</v>
      </c>
      <c r="F422" s="66" t="s">
        <v>204</v>
      </c>
      <c r="G422" s="66">
        <f t="shared" si="10"/>
        <v>0</v>
      </c>
      <c r="H422" s="66">
        <v>7.3292</v>
      </c>
      <c r="I422" s="66">
        <v>8.8549</v>
      </c>
      <c r="J422" s="66">
        <v>8.0981</v>
      </c>
      <c r="K422" s="81">
        <f t="shared" si="2"/>
        <v>1.5257</v>
      </c>
      <c r="L422" s="81">
        <f t="shared" si="3"/>
        <v>0.7689</v>
      </c>
    </row>
    <row r="423">
      <c r="A423" s="82">
        <v>44655.0</v>
      </c>
      <c r="B423" s="82">
        <v>44655.0</v>
      </c>
      <c r="C423" s="66">
        <v>2007.0</v>
      </c>
      <c r="D423" s="66" t="s">
        <v>198</v>
      </c>
      <c r="E423" s="66">
        <v>0.0</v>
      </c>
      <c r="F423" s="66" t="s">
        <v>205</v>
      </c>
      <c r="G423" s="66">
        <f t="shared" si="10"/>
        <v>0</v>
      </c>
      <c r="H423" s="66">
        <v>7.359</v>
      </c>
      <c r="I423" s="66">
        <v>10.0003</v>
      </c>
      <c r="J423" s="66">
        <v>8.7222</v>
      </c>
      <c r="K423" s="81">
        <f t="shared" si="2"/>
        <v>2.6413</v>
      </c>
      <c r="L423" s="81">
        <f t="shared" si="3"/>
        <v>1.3632</v>
      </c>
    </row>
    <row r="424">
      <c r="A424" s="82">
        <v>44655.0</v>
      </c>
      <c r="B424" s="82">
        <v>44655.0</v>
      </c>
      <c r="C424" s="66">
        <v>2379.0</v>
      </c>
      <c r="D424" s="66" t="s">
        <v>203</v>
      </c>
      <c r="E424" s="66">
        <v>1.0</v>
      </c>
      <c r="F424" s="66" t="s">
        <v>204</v>
      </c>
      <c r="G424" s="66">
        <f t="shared" si="10"/>
        <v>0</v>
      </c>
      <c r="H424" s="66">
        <v>0.0</v>
      </c>
      <c r="I424" s="66">
        <v>2.5581</v>
      </c>
      <c r="J424" s="66">
        <v>1.4763</v>
      </c>
      <c r="K424" s="81">
        <f t="shared" si="2"/>
        <v>2.5581</v>
      </c>
      <c r="L424" s="81">
        <f t="shared" si="3"/>
        <v>1.4763</v>
      </c>
      <c r="M424" s="66">
        <v>3.0</v>
      </c>
    </row>
    <row r="425">
      <c r="A425" s="82">
        <v>44655.0</v>
      </c>
      <c r="B425" s="82">
        <v>44655.0</v>
      </c>
      <c r="C425" s="66">
        <v>2093.0</v>
      </c>
      <c r="D425" s="66" t="s">
        <v>198</v>
      </c>
      <c r="E425" s="66">
        <v>1.0</v>
      </c>
      <c r="F425" s="66" t="s">
        <v>204</v>
      </c>
      <c r="G425" s="66">
        <f t="shared" si="10"/>
        <v>0</v>
      </c>
      <c r="H425" s="66">
        <v>7.3477</v>
      </c>
      <c r="I425" s="66">
        <v>8.5177</v>
      </c>
      <c r="J425" s="66">
        <v>8.0506</v>
      </c>
      <c r="K425" s="81">
        <f t="shared" si="2"/>
        <v>1.17</v>
      </c>
      <c r="L425" s="81">
        <f t="shared" si="3"/>
        <v>0.7029</v>
      </c>
    </row>
    <row r="426">
      <c r="A426" s="82">
        <v>44655.0</v>
      </c>
      <c r="B426" s="82">
        <v>44655.0</v>
      </c>
      <c r="C426" s="66">
        <v>2371.0</v>
      </c>
      <c r="D426" s="66" t="s">
        <v>203</v>
      </c>
      <c r="E426" s="66">
        <v>0.0</v>
      </c>
      <c r="F426" s="66" t="s">
        <v>204</v>
      </c>
      <c r="G426" s="66">
        <f t="shared" si="10"/>
        <v>0</v>
      </c>
      <c r="H426" s="66">
        <v>6.2573</v>
      </c>
      <c r="I426" s="66">
        <v>6.6983</v>
      </c>
      <c r="J426" s="66">
        <v>6.438</v>
      </c>
      <c r="K426" s="81">
        <f t="shared" si="2"/>
        <v>0.441</v>
      </c>
      <c r="L426" s="81">
        <f t="shared" si="3"/>
        <v>0.1807</v>
      </c>
    </row>
    <row r="427">
      <c r="A427" s="82">
        <v>44655.0</v>
      </c>
      <c r="B427" s="82">
        <v>44655.0</v>
      </c>
      <c r="C427" s="66">
        <v>2005.0</v>
      </c>
      <c r="D427" s="66" t="s">
        <v>198</v>
      </c>
      <c r="E427" s="66">
        <v>0.0</v>
      </c>
      <c r="F427" s="66" t="s">
        <v>205</v>
      </c>
      <c r="G427" s="66">
        <f t="shared" si="10"/>
        <v>0</v>
      </c>
      <c r="H427" s="66">
        <v>7.499</v>
      </c>
      <c r="I427" s="66">
        <v>11.0545</v>
      </c>
      <c r="J427" s="66">
        <v>9.2054</v>
      </c>
      <c r="K427" s="81">
        <f t="shared" si="2"/>
        <v>3.5555</v>
      </c>
      <c r="L427" s="81">
        <f t="shared" si="3"/>
        <v>1.7064</v>
      </c>
    </row>
    <row r="428">
      <c r="A428" s="82">
        <v>44655.0</v>
      </c>
      <c r="B428" s="82">
        <v>44655.0</v>
      </c>
      <c r="C428" s="66">
        <v>2011.0</v>
      </c>
      <c r="D428" s="66" t="s">
        <v>203</v>
      </c>
      <c r="E428" s="66">
        <v>0.0</v>
      </c>
      <c r="F428" s="66" t="s">
        <v>204</v>
      </c>
      <c r="G428" s="66">
        <f t="shared" si="10"/>
        <v>0</v>
      </c>
      <c r="H428" s="66">
        <v>0.0</v>
      </c>
      <c r="I428" s="66">
        <v>1.8305</v>
      </c>
      <c r="J428" s="66">
        <v>0.8062</v>
      </c>
      <c r="K428" s="81">
        <f t="shared" si="2"/>
        <v>1.8305</v>
      </c>
      <c r="L428" s="81">
        <f t="shared" si="3"/>
        <v>0.8062</v>
      </c>
      <c r="M428" s="66">
        <v>2.0</v>
      </c>
    </row>
    <row r="429">
      <c r="A429" s="82">
        <v>44655.0</v>
      </c>
      <c r="B429" s="82">
        <v>44655.0</v>
      </c>
      <c r="C429" s="66">
        <v>2088.0</v>
      </c>
      <c r="D429" s="66" t="s">
        <v>203</v>
      </c>
      <c r="E429" s="66">
        <v>0.0</v>
      </c>
      <c r="F429" s="66" t="s">
        <v>205</v>
      </c>
      <c r="G429" s="66">
        <f t="shared" si="10"/>
        <v>0</v>
      </c>
      <c r="H429" s="66">
        <v>6.2825</v>
      </c>
      <c r="I429" s="66">
        <v>9.31</v>
      </c>
      <c r="J429" s="66">
        <v>7.4055</v>
      </c>
      <c r="K429" s="81">
        <f t="shared" si="2"/>
        <v>3.0275</v>
      </c>
      <c r="L429" s="81">
        <f t="shared" si="3"/>
        <v>1.123</v>
      </c>
    </row>
    <row r="430">
      <c r="A430" s="82">
        <v>44655.0</v>
      </c>
      <c r="B430" s="82">
        <v>44655.0</v>
      </c>
      <c r="C430" s="66">
        <v>2093.0</v>
      </c>
      <c r="D430" s="66" t="s">
        <v>198</v>
      </c>
      <c r="E430" s="66">
        <v>0.0</v>
      </c>
      <c r="F430" s="66" t="s">
        <v>205</v>
      </c>
      <c r="G430" s="66">
        <f t="shared" si="10"/>
        <v>0</v>
      </c>
      <c r="H430" s="66">
        <v>7.2492</v>
      </c>
      <c r="I430" s="66">
        <v>7.4735</v>
      </c>
      <c r="J430" s="66">
        <v>7.3643</v>
      </c>
      <c r="K430" s="81">
        <f t="shared" si="2"/>
        <v>0.2243</v>
      </c>
      <c r="L430" s="81">
        <f t="shared" si="3"/>
        <v>0.1151</v>
      </c>
    </row>
    <row r="431">
      <c r="A431" s="82">
        <v>44655.0</v>
      </c>
      <c r="B431" s="82">
        <v>44655.0</v>
      </c>
      <c r="C431" s="66">
        <v>2092.0</v>
      </c>
      <c r="D431" s="66" t="s">
        <v>198</v>
      </c>
      <c r="E431" s="66">
        <v>1.0</v>
      </c>
      <c r="F431" s="66" t="s">
        <v>205</v>
      </c>
      <c r="G431" s="66">
        <f t="shared" si="10"/>
        <v>0</v>
      </c>
      <c r="H431" s="66">
        <v>7.3402</v>
      </c>
      <c r="I431" s="66">
        <v>9.2478</v>
      </c>
      <c r="J431" s="66">
        <v>8.4404</v>
      </c>
      <c r="K431" s="81">
        <f t="shared" si="2"/>
        <v>1.9076</v>
      </c>
      <c r="L431" s="81">
        <f t="shared" si="3"/>
        <v>1.1002</v>
      </c>
    </row>
    <row r="432">
      <c r="A432" s="82">
        <v>44655.0</v>
      </c>
      <c r="B432" s="82">
        <v>44655.0</v>
      </c>
      <c r="C432" s="66">
        <v>2026.0</v>
      </c>
      <c r="D432" s="66" t="s">
        <v>198</v>
      </c>
      <c r="E432" s="66">
        <v>1.0</v>
      </c>
      <c r="F432" s="66" t="s">
        <v>204</v>
      </c>
      <c r="G432" s="66">
        <f t="shared" si="10"/>
        <v>0</v>
      </c>
      <c r="H432" s="66">
        <v>7.3814</v>
      </c>
      <c r="I432" s="66">
        <v>7.9775</v>
      </c>
      <c r="J432" s="66">
        <v>7.7192</v>
      </c>
      <c r="K432" s="81">
        <f t="shared" si="2"/>
        <v>0.5961</v>
      </c>
      <c r="L432" s="81">
        <f t="shared" si="3"/>
        <v>0.3378</v>
      </c>
    </row>
    <row r="433">
      <c r="A433" s="82">
        <v>44655.0</v>
      </c>
      <c r="B433" s="82">
        <v>44655.0</v>
      </c>
      <c r="C433" s="66">
        <v>2367.0</v>
      </c>
      <c r="D433" s="66" t="s">
        <v>203</v>
      </c>
      <c r="E433" s="66">
        <v>0.0</v>
      </c>
      <c r="F433" s="66" t="s">
        <v>204</v>
      </c>
      <c r="G433" s="66">
        <f t="shared" si="10"/>
        <v>0</v>
      </c>
      <c r="H433" s="66">
        <v>0.0</v>
      </c>
      <c r="I433" s="66">
        <v>0.1968</v>
      </c>
      <c r="J433" s="66">
        <v>0.0962</v>
      </c>
      <c r="K433" s="81">
        <f t="shared" si="2"/>
        <v>0.1968</v>
      </c>
      <c r="L433" s="81">
        <f t="shared" si="3"/>
        <v>0.0962</v>
      </c>
    </row>
    <row r="434">
      <c r="A434" s="82">
        <v>44655.0</v>
      </c>
      <c r="B434" s="82">
        <v>44655.0</v>
      </c>
      <c r="C434" s="66">
        <v>2345.0</v>
      </c>
      <c r="D434" s="66" t="s">
        <v>203</v>
      </c>
      <c r="E434" s="66">
        <v>1.0</v>
      </c>
      <c r="F434" s="66" t="s">
        <v>204</v>
      </c>
      <c r="G434" s="66">
        <f t="shared" si="10"/>
        <v>0</v>
      </c>
      <c r="H434" s="66">
        <v>0.0</v>
      </c>
      <c r="I434" s="66">
        <v>0.7057</v>
      </c>
      <c r="J434" s="66">
        <v>0.4181</v>
      </c>
      <c r="K434" s="81">
        <f t="shared" si="2"/>
        <v>0.7057</v>
      </c>
      <c r="L434" s="81">
        <f t="shared" si="3"/>
        <v>0.4181</v>
      </c>
    </row>
    <row r="435">
      <c r="A435" s="82">
        <v>44655.0</v>
      </c>
      <c r="B435" s="82">
        <v>44655.0</v>
      </c>
      <c r="C435" s="66">
        <v>2008.0</v>
      </c>
      <c r="D435" s="66" t="s">
        <v>198</v>
      </c>
      <c r="E435" s="66">
        <v>0.0</v>
      </c>
      <c r="F435" s="66" t="s">
        <v>205</v>
      </c>
      <c r="G435" s="66">
        <f t="shared" si="10"/>
        <v>0</v>
      </c>
      <c r="H435" s="66">
        <v>7.3543</v>
      </c>
      <c r="I435" s="66">
        <v>10.4482</v>
      </c>
      <c r="J435" s="66">
        <v>8.8743</v>
      </c>
      <c r="K435" s="81">
        <f t="shared" si="2"/>
        <v>3.0939</v>
      </c>
      <c r="L435" s="81">
        <f t="shared" si="3"/>
        <v>1.52</v>
      </c>
    </row>
    <row r="436">
      <c r="A436" s="82">
        <v>44655.0</v>
      </c>
      <c r="B436" s="82">
        <v>44655.0</v>
      </c>
      <c r="C436" s="66">
        <v>2365.0</v>
      </c>
      <c r="D436" s="66" t="s">
        <v>203</v>
      </c>
      <c r="E436" s="66">
        <v>0.0</v>
      </c>
      <c r="F436" s="66" t="s">
        <v>204</v>
      </c>
      <c r="G436" s="66">
        <f t="shared" si="10"/>
        <v>0</v>
      </c>
      <c r="H436" s="66">
        <v>6.2362</v>
      </c>
      <c r="I436" s="66">
        <v>6.6347</v>
      </c>
      <c r="J436" s="66">
        <v>6.4454</v>
      </c>
      <c r="K436" s="81">
        <f t="shared" si="2"/>
        <v>0.3985</v>
      </c>
      <c r="L436" s="81">
        <f t="shared" si="3"/>
        <v>0.2092</v>
      </c>
    </row>
    <row r="437">
      <c r="A437" s="82">
        <v>44655.0</v>
      </c>
      <c r="B437" s="82">
        <v>44655.0</v>
      </c>
      <c r="C437" s="66">
        <v>2378.0</v>
      </c>
      <c r="D437" s="66" t="s">
        <v>203</v>
      </c>
      <c r="E437" s="66">
        <v>0.0</v>
      </c>
      <c r="F437" s="66" t="s">
        <v>204</v>
      </c>
      <c r="G437" s="66">
        <f t="shared" si="10"/>
        <v>0</v>
      </c>
      <c r="H437" s="66">
        <v>6.2723</v>
      </c>
      <c r="I437" s="66">
        <v>7.1751</v>
      </c>
      <c r="J437" s="66">
        <v>6.7255</v>
      </c>
      <c r="K437" s="81">
        <f t="shared" si="2"/>
        <v>0.9028</v>
      </c>
      <c r="L437" s="81">
        <f t="shared" si="3"/>
        <v>0.4532</v>
      </c>
    </row>
    <row r="438">
      <c r="A438" s="82">
        <v>44655.0</v>
      </c>
      <c r="B438" s="82">
        <v>44655.0</v>
      </c>
      <c r="C438" s="66">
        <v>2375.0</v>
      </c>
      <c r="D438" s="66" t="s">
        <v>203</v>
      </c>
      <c r="E438" s="66">
        <v>1.0</v>
      </c>
      <c r="F438" s="66" t="s">
        <v>204</v>
      </c>
      <c r="G438" s="66">
        <f t="shared" si="10"/>
        <v>0</v>
      </c>
      <c r="H438" s="66">
        <v>0.0</v>
      </c>
      <c r="I438" s="66">
        <v>1.1976</v>
      </c>
      <c r="J438" s="66">
        <v>0.6722</v>
      </c>
      <c r="K438" s="81">
        <f t="shared" si="2"/>
        <v>1.1976</v>
      </c>
      <c r="L438" s="81">
        <f t="shared" si="3"/>
        <v>0.6722</v>
      </c>
    </row>
    <row r="439">
      <c r="A439" s="82">
        <v>44655.0</v>
      </c>
      <c r="B439" s="82">
        <v>44655.0</v>
      </c>
      <c r="C439" s="66">
        <v>2343.0</v>
      </c>
      <c r="D439" s="66" t="s">
        <v>203</v>
      </c>
      <c r="E439" s="66">
        <v>1.0</v>
      </c>
      <c r="F439" s="66" t="s">
        <v>204</v>
      </c>
      <c r="G439" s="66">
        <f t="shared" si="10"/>
        <v>0</v>
      </c>
      <c r="H439" s="66">
        <v>6.2226</v>
      </c>
      <c r="I439" s="66">
        <v>7.4487</v>
      </c>
      <c r="J439" s="66">
        <v>6.8828</v>
      </c>
      <c r="K439" s="81">
        <f t="shared" si="2"/>
        <v>1.2261</v>
      </c>
      <c r="L439" s="81">
        <f t="shared" si="3"/>
        <v>0.6602</v>
      </c>
    </row>
    <row r="440">
      <c r="A440" s="82">
        <v>44655.0</v>
      </c>
      <c r="B440" s="82">
        <v>44655.0</v>
      </c>
      <c r="C440" s="66">
        <v>2088.0</v>
      </c>
      <c r="D440" s="66" t="s">
        <v>203</v>
      </c>
      <c r="E440" s="66">
        <v>0.0</v>
      </c>
      <c r="F440" s="66" t="s">
        <v>204</v>
      </c>
      <c r="G440" s="66">
        <f t="shared" si="10"/>
        <v>0</v>
      </c>
      <c r="H440" s="66">
        <v>6.2543</v>
      </c>
      <c r="I440" s="66">
        <v>6.5222</v>
      </c>
      <c r="J440" s="81">
        <f>6.2343+0.102</f>
        <v>6.3363</v>
      </c>
      <c r="K440" s="81">
        <f t="shared" si="2"/>
        <v>0.2679</v>
      </c>
      <c r="L440" s="81">
        <f t="shared" si="3"/>
        <v>0.082</v>
      </c>
    </row>
    <row r="441">
      <c r="A441" s="82">
        <v>44655.0</v>
      </c>
      <c r="B441" s="82">
        <v>44655.0</v>
      </c>
      <c r="C441" s="66">
        <v>2371.0</v>
      </c>
      <c r="D441" s="66" t="s">
        <v>203</v>
      </c>
      <c r="E441" s="66">
        <v>1.0</v>
      </c>
      <c r="F441" s="66" t="s">
        <v>204</v>
      </c>
      <c r="G441" s="66">
        <f t="shared" si="10"/>
        <v>0</v>
      </c>
      <c r="H441" s="66">
        <v>7.2657</v>
      </c>
      <c r="I441" s="66">
        <v>7.9886</v>
      </c>
      <c r="J441" s="81">
        <f>H441+0.398</f>
        <v>7.6637</v>
      </c>
      <c r="K441" s="81">
        <f t="shared" si="2"/>
        <v>0.7229</v>
      </c>
      <c r="L441" s="81">
        <f t="shared" si="3"/>
        <v>0.398</v>
      </c>
    </row>
    <row r="442">
      <c r="A442" s="82">
        <v>44655.0</v>
      </c>
      <c r="B442" s="82">
        <v>44655.0</v>
      </c>
      <c r="C442" s="66">
        <v>2370.0</v>
      </c>
      <c r="D442" s="66" t="s">
        <v>203</v>
      </c>
      <c r="E442" s="66">
        <v>0.0</v>
      </c>
      <c r="F442" s="66" t="s">
        <v>204</v>
      </c>
      <c r="G442" s="66">
        <f t="shared" si="10"/>
        <v>0</v>
      </c>
      <c r="H442" s="66">
        <v>7.3498</v>
      </c>
      <c r="I442" s="66">
        <v>7.5199</v>
      </c>
      <c r="J442" s="81">
        <f>H442+0.121</f>
        <v>7.4708</v>
      </c>
      <c r="K442" s="81">
        <f t="shared" si="2"/>
        <v>0.1701</v>
      </c>
      <c r="L442" s="81">
        <f t="shared" si="3"/>
        <v>0.121</v>
      </c>
    </row>
    <row r="443">
      <c r="A443" s="82">
        <v>44655.0</v>
      </c>
      <c r="B443" s="82">
        <v>44655.0</v>
      </c>
      <c r="C443" s="66">
        <v>2354.0</v>
      </c>
      <c r="D443" s="66" t="s">
        <v>203</v>
      </c>
      <c r="E443" s="66">
        <v>0.0</v>
      </c>
      <c r="F443" s="66" t="s">
        <v>204</v>
      </c>
      <c r="G443" s="66">
        <f t="shared" si="10"/>
        <v>0</v>
      </c>
      <c r="H443" s="66">
        <v>6.2524</v>
      </c>
      <c r="I443" s="66">
        <v>6.5209</v>
      </c>
      <c r="J443" s="81">
        <f>H443+0.12</f>
        <v>6.3724</v>
      </c>
      <c r="K443" s="81">
        <f t="shared" si="2"/>
        <v>0.2685</v>
      </c>
      <c r="L443" s="81">
        <f t="shared" si="3"/>
        <v>0.12</v>
      </c>
    </row>
    <row r="444">
      <c r="A444" s="82">
        <v>44655.0</v>
      </c>
      <c r="B444" s="82">
        <v>44655.0</v>
      </c>
      <c r="C444" s="66">
        <v>2343.0</v>
      </c>
      <c r="D444" s="66" t="s">
        <v>203</v>
      </c>
      <c r="E444" s="66">
        <v>0.0</v>
      </c>
      <c r="F444" s="66" t="s">
        <v>204</v>
      </c>
      <c r="G444" s="66">
        <f t="shared" si="10"/>
        <v>0</v>
      </c>
      <c r="H444" s="66">
        <v>7.2698</v>
      </c>
      <c r="I444" s="66">
        <v>8.3762</v>
      </c>
      <c r="J444" s="81">
        <f>H444+0.47</f>
        <v>7.7398</v>
      </c>
      <c r="K444" s="81">
        <f t="shared" si="2"/>
        <v>1.1064</v>
      </c>
      <c r="L444" s="81">
        <f t="shared" si="3"/>
        <v>0.47</v>
      </c>
    </row>
    <row r="445">
      <c r="A445" s="82">
        <v>44655.0</v>
      </c>
      <c r="B445" s="82">
        <v>44655.0</v>
      </c>
      <c r="C445" s="66">
        <v>2377.0</v>
      </c>
      <c r="D445" s="66" t="s">
        <v>203</v>
      </c>
      <c r="E445" s="66">
        <v>0.0</v>
      </c>
      <c r="F445" s="66" t="s">
        <v>204</v>
      </c>
      <c r="G445" s="66">
        <f t="shared" si="10"/>
        <v>0</v>
      </c>
      <c r="H445" s="66">
        <v>7.2813</v>
      </c>
      <c r="I445" s="66">
        <v>7.4154</v>
      </c>
      <c r="J445" s="81">
        <f>H445+0.063</f>
        <v>7.3443</v>
      </c>
      <c r="K445" s="81">
        <f t="shared" si="2"/>
        <v>0.1341</v>
      </c>
      <c r="L445" s="81">
        <f t="shared" si="3"/>
        <v>0.063</v>
      </c>
    </row>
    <row r="446">
      <c r="A446" s="82">
        <v>44655.0</v>
      </c>
      <c r="B446" s="82">
        <v>44655.0</v>
      </c>
      <c r="C446" s="66">
        <v>2384.0</v>
      </c>
      <c r="D446" s="66" t="s">
        <v>203</v>
      </c>
      <c r="E446" s="66">
        <v>1.0</v>
      </c>
      <c r="F446" s="66" t="s">
        <v>204</v>
      </c>
      <c r="G446" s="66">
        <f t="shared" si="10"/>
        <v>0</v>
      </c>
      <c r="H446" s="66">
        <v>7.2988</v>
      </c>
      <c r="I446" s="66">
        <v>7.8798</v>
      </c>
      <c r="J446" s="81">
        <f>H446+0.36</f>
        <v>7.6588</v>
      </c>
      <c r="K446" s="81">
        <f t="shared" si="2"/>
        <v>0.581</v>
      </c>
      <c r="L446" s="81">
        <f t="shared" si="3"/>
        <v>0.36</v>
      </c>
    </row>
    <row r="447">
      <c r="A447" s="82">
        <v>44655.0</v>
      </c>
      <c r="B447" s="82">
        <v>44655.0</v>
      </c>
      <c r="C447" s="66">
        <v>2029.0</v>
      </c>
      <c r="D447" s="66" t="s">
        <v>198</v>
      </c>
      <c r="E447" s="66">
        <v>1.0</v>
      </c>
      <c r="F447" s="66" t="s">
        <v>204</v>
      </c>
      <c r="G447" s="66">
        <f t="shared" si="10"/>
        <v>0</v>
      </c>
      <c r="H447" s="66">
        <v>7.3444</v>
      </c>
      <c r="I447" s="66">
        <v>8.2719</v>
      </c>
      <c r="J447" s="81">
        <f>H447+0.542</f>
        <v>7.8864</v>
      </c>
      <c r="K447" s="81">
        <f t="shared" si="2"/>
        <v>0.9275</v>
      </c>
      <c r="L447" s="81">
        <f t="shared" si="3"/>
        <v>0.542</v>
      </c>
    </row>
    <row r="448">
      <c r="A448" s="82">
        <v>44655.0</v>
      </c>
      <c r="B448" s="82">
        <v>44655.0</v>
      </c>
      <c r="C448" s="66">
        <v>2331.0</v>
      </c>
      <c r="D448" s="66" t="s">
        <v>203</v>
      </c>
      <c r="E448" s="66">
        <v>0.0</v>
      </c>
      <c r="F448" s="66" t="s">
        <v>205</v>
      </c>
      <c r="G448" s="66">
        <f t="shared" si="10"/>
        <v>0</v>
      </c>
      <c r="H448" s="66">
        <v>7.2931</v>
      </c>
      <c r="I448" s="66">
        <v>7.3791</v>
      </c>
      <c r="J448" s="81">
        <f>H448+0.045</f>
        <v>7.3381</v>
      </c>
      <c r="K448" s="81">
        <f t="shared" si="2"/>
        <v>0.086</v>
      </c>
      <c r="L448" s="81">
        <f t="shared" si="3"/>
        <v>0.045</v>
      </c>
    </row>
    <row r="449">
      <c r="A449" s="82">
        <v>44655.0</v>
      </c>
      <c r="B449" s="82">
        <v>44655.0</v>
      </c>
      <c r="C449" s="66">
        <v>2022.0</v>
      </c>
      <c r="D449" s="66" t="s">
        <v>203</v>
      </c>
      <c r="E449" s="66">
        <v>1.0</v>
      </c>
      <c r="F449" s="66" t="s">
        <v>205</v>
      </c>
      <c r="G449" s="66">
        <f t="shared" si="10"/>
        <v>0</v>
      </c>
      <c r="H449" s="66">
        <v>26.2306</v>
      </c>
      <c r="I449" s="66">
        <v>32.48</v>
      </c>
      <c r="J449" s="66">
        <v>29.4711</v>
      </c>
      <c r="K449" s="81">
        <f t="shared" si="2"/>
        <v>6.2494</v>
      </c>
      <c r="L449" s="81">
        <f t="shared" si="3"/>
        <v>3.2405</v>
      </c>
    </row>
    <row r="450">
      <c r="A450" s="82">
        <v>44655.0</v>
      </c>
      <c r="B450" s="82">
        <v>44655.0</v>
      </c>
      <c r="C450" s="66">
        <v>2091.0</v>
      </c>
      <c r="D450" s="66" t="s">
        <v>58</v>
      </c>
      <c r="E450" s="66">
        <v>1.0</v>
      </c>
      <c r="F450" s="66" t="s">
        <v>205</v>
      </c>
      <c r="G450" s="66">
        <f t="shared" si="10"/>
        <v>0</v>
      </c>
      <c r="H450" s="66">
        <v>26.3202</v>
      </c>
      <c r="I450" s="66">
        <v>30.6486</v>
      </c>
      <c r="J450" s="66">
        <v>28.9847</v>
      </c>
      <c r="K450" s="81">
        <f t="shared" si="2"/>
        <v>4.3284</v>
      </c>
      <c r="L450" s="81">
        <f t="shared" si="3"/>
        <v>2.6645</v>
      </c>
      <c r="M450" s="66">
        <v>1.0</v>
      </c>
    </row>
    <row r="451">
      <c r="A451" s="82">
        <v>44655.0</v>
      </c>
      <c r="B451" s="82">
        <v>44655.0</v>
      </c>
      <c r="C451" s="66">
        <v>2029.0</v>
      </c>
      <c r="D451" s="66" t="s">
        <v>198</v>
      </c>
      <c r="E451" s="66">
        <v>0.0</v>
      </c>
      <c r="F451" s="66" t="s">
        <v>205</v>
      </c>
      <c r="G451" s="66">
        <f t="shared" si="10"/>
        <v>0</v>
      </c>
      <c r="H451" s="66">
        <v>26.1665</v>
      </c>
      <c r="I451" s="66">
        <v>30.7019</v>
      </c>
      <c r="J451" s="66">
        <v>28.3358</v>
      </c>
      <c r="K451" s="81">
        <f t="shared" si="2"/>
        <v>4.5354</v>
      </c>
      <c r="L451" s="81">
        <f t="shared" si="3"/>
        <v>2.1693</v>
      </c>
    </row>
    <row r="452">
      <c r="A452" s="82">
        <v>44655.0</v>
      </c>
      <c r="B452" s="82">
        <v>44655.0</v>
      </c>
      <c r="C452" s="66">
        <v>2087.0</v>
      </c>
      <c r="D452" s="66" t="s">
        <v>203</v>
      </c>
      <c r="E452" s="66">
        <v>1.0</v>
      </c>
      <c r="F452" s="66" t="s">
        <v>204</v>
      </c>
      <c r="G452" s="66">
        <f t="shared" si="10"/>
        <v>0</v>
      </c>
      <c r="H452" s="66">
        <v>26.2326</v>
      </c>
      <c r="I452" s="66">
        <v>27.3741</v>
      </c>
      <c r="J452" s="66">
        <v>26.7283</v>
      </c>
      <c r="K452" s="81">
        <f t="shared" si="2"/>
        <v>1.1415</v>
      </c>
      <c r="L452" s="81">
        <f t="shared" si="3"/>
        <v>0.4957</v>
      </c>
    </row>
    <row r="453">
      <c r="A453" s="82">
        <v>44655.0</v>
      </c>
      <c r="B453" s="82">
        <v>44655.0</v>
      </c>
      <c r="C453" s="66">
        <v>2028.0</v>
      </c>
      <c r="D453" s="66" t="s">
        <v>198</v>
      </c>
      <c r="E453" s="66">
        <v>0.0</v>
      </c>
      <c r="F453" s="66" t="s">
        <v>205</v>
      </c>
      <c r="G453" s="66">
        <f t="shared" si="10"/>
        <v>0</v>
      </c>
      <c r="H453" s="66">
        <v>26.2855</v>
      </c>
      <c r="I453" s="66">
        <v>31.3484</v>
      </c>
      <c r="J453" s="66">
        <v>29.1262</v>
      </c>
      <c r="K453" s="81">
        <f t="shared" si="2"/>
        <v>5.0629</v>
      </c>
      <c r="L453" s="81">
        <f t="shared" si="3"/>
        <v>2.8407</v>
      </c>
    </row>
    <row r="454">
      <c r="A454" s="82">
        <v>44655.0</v>
      </c>
      <c r="B454" s="82">
        <v>44655.0</v>
      </c>
      <c r="C454" s="66">
        <v>2011.0</v>
      </c>
      <c r="D454" s="66" t="s">
        <v>203</v>
      </c>
      <c r="E454" s="66">
        <v>0.0</v>
      </c>
      <c r="F454" s="66" t="s">
        <v>204</v>
      </c>
      <c r="G454" s="66">
        <f t="shared" si="10"/>
        <v>0</v>
      </c>
      <c r="H454" s="66">
        <v>26.0519</v>
      </c>
      <c r="I454" s="66">
        <v>26.518</v>
      </c>
      <c r="J454" s="66">
        <v>26.2368</v>
      </c>
      <c r="K454" s="81">
        <f t="shared" si="2"/>
        <v>0.4661</v>
      </c>
      <c r="L454" s="81">
        <f t="shared" si="3"/>
        <v>0.1849</v>
      </c>
    </row>
    <row r="455">
      <c r="A455" s="82">
        <v>44655.0</v>
      </c>
      <c r="B455" s="82">
        <v>44655.0</v>
      </c>
      <c r="C455" s="66">
        <v>2028.0</v>
      </c>
      <c r="D455" s="66" t="s">
        <v>198</v>
      </c>
      <c r="E455" s="66">
        <v>0.0</v>
      </c>
      <c r="F455" s="66" t="s">
        <v>204</v>
      </c>
      <c r="G455" s="66">
        <f t="shared" si="10"/>
        <v>0</v>
      </c>
      <c r="H455" s="66">
        <v>15.3471</v>
      </c>
      <c r="I455" s="66">
        <v>15.8037</v>
      </c>
      <c r="J455" s="66">
        <v>15.5347</v>
      </c>
      <c r="K455" s="81">
        <f t="shared" si="2"/>
        <v>0.4566</v>
      </c>
      <c r="L455" s="81">
        <f t="shared" si="3"/>
        <v>0.1876</v>
      </c>
    </row>
    <row r="456">
      <c r="A456" s="82">
        <v>44655.0</v>
      </c>
      <c r="B456" s="82">
        <v>44655.0</v>
      </c>
      <c r="C456" s="66">
        <v>2093.0</v>
      </c>
      <c r="D456" s="66" t="s">
        <v>203</v>
      </c>
      <c r="E456" s="66">
        <v>1.0</v>
      </c>
      <c r="F456" s="66" t="s">
        <v>204</v>
      </c>
      <c r="G456" s="66">
        <f t="shared" si="10"/>
        <v>0</v>
      </c>
      <c r="H456" s="66">
        <v>26.2935</v>
      </c>
      <c r="I456" s="66">
        <v>27.4909</v>
      </c>
      <c r="J456" s="66">
        <v>26.9108</v>
      </c>
      <c r="K456" s="81">
        <f t="shared" si="2"/>
        <v>1.1974</v>
      </c>
      <c r="L456" s="81">
        <f t="shared" si="3"/>
        <v>0.6173</v>
      </c>
    </row>
    <row r="457">
      <c r="A457" s="82">
        <v>44655.0</v>
      </c>
      <c r="B457" s="82">
        <v>44655.0</v>
      </c>
      <c r="C457" s="66">
        <v>2021.0</v>
      </c>
      <c r="D457" s="66" t="s">
        <v>198</v>
      </c>
      <c r="E457" s="66">
        <v>0.0</v>
      </c>
      <c r="F457" s="66" t="s">
        <v>205</v>
      </c>
      <c r="G457" s="66">
        <f t="shared" si="10"/>
        <v>0</v>
      </c>
      <c r="H457" s="66">
        <v>25.8127</v>
      </c>
      <c r="I457" s="66">
        <v>30.0684</v>
      </c>
      <c r="J457" s="66">
        <v>27.6857</v>
      </c>
      <c r="K457" s="81">
        <f t="shared" si="2"/>
        <v>4.2557</v>
      </c>
      <c r="L457" s="81">
        <f t="shared" si="3"/>
        <v>1.873</v>
      </c>
    </row>
    <row r="458">
      <c r="A458" s="82">
        <v>44655.0</v>
      </c>
      <c r="B458" s="82">
        <v>44655.0</v>
      </c>
      <c r="C458" s="66">
        <v>2020.0</v>
      </c>
      <c r="D458" s="66" t="s">
        <v>198</v>
      </c>
      <c r="E458" s="66">
        <v>0.0</v>
      </c>
      <c r="F458" s="66" t="s">
        <v>205</v>
      </c>
      <c r="G458" s="66">
        <f t="shared" si="10"/>
        <v>0</v>
      </c>
      <c r="H458" s="66">
        <v>26.4119</v>
      </c>
      <c r="I458" s="66">
        <v>30.9124</v>
      </c>
      <c r="J458" s="66">
        <v>28.5926</v>
      </c>
      <c r="K458" s="81">
        <f t="shared" si="2"/>
        <v>4.5005</v>
      </c>
      <c r="L458" s="81">
        <f t="shared" si="3"/>
        <v>2.1807</v>
      </c>
    </row>
    <row r="459">
      <c r="A459" s="82">
        <v>44655.0</v>
      </c>
      <c r="B459" s="82">
        <v>44655.0</v>
      </c>
      <c r="C459" s="66">
        <v>2013.0</v>
      </c>
      <c r="D459" s="66" t="s">
        <v>198</v>
      </c>
      <c r="E459" s="66">
        <v>0.0</v>
      </c>
      <c r="F459" s="66" t="s">
        <v>205</v>
      </c>
      <c r="G459" s="66">
        <f t="shared" si="10"/>
        <v>0</v>
      </c>
      <c r="H459" s="66">
        <v>26.3893</v>
      </c>
      <c r="I459" s="66">
        <v>30.4017</v>
      </c>
      <c r="J459" s="66">
        <v>27.7784</v>
      </c>
      <c r="K459" s="81">
        <f t="shared" si="2"/>
        <v>4.0124</v>
      </c>
      <c r="L459" s="81">
        <f t="shared" si="3"/>
        <v>1.3891</v>
      </c>
    </row>
    <row r="460">
      <c r="A460" s="82">
        <v>44655.0</v>
      </c>
      <c r="B460" s="82">
        <v>44655.0</v>
      </c>
      <c r="C460" s="66">
        <v>2025.0</v>
      </c>
      <c r="D460" s="66" t="s">
        <v>198</v>
      </c>
      <c r="E460" s="66">
        <v>0.0</v>
      </c>
      <c r="F460" s="66" t="s">
        <v>204</v>
      </c>
      <c r="G460" s="66">
        <f t="shared" si="10"/>
        <v>0</v>
      </c>
      <c r="H460" s="66">
        <v>26.2536</v>
      </c>
      <c r="I460" s="66">
        <v>26.6686</v>
      </c>
      <c r="J460" s="66">
        <v>26.582</v>
      </c>
      <c r="K460" s="81">
        <f t="shared" si="2"/>
        <v>0.415</v>
      </c>
      <c r="L460" s="81">
        <f t="shared" si="3"/>
        <v>0.3284</v>
      </c>
    </row>
    <row r="461">
      <c r="A461" s="82">
        <v>44655.0</v>
      </c>
      <c r="B461" s="82">
        <v>44655.0</v>
      </c>
      <c r="C461" s="66">
        <v>2020.0</v>
      </c>
      <c r="D461" s="66" t="s">
        <v>198</v>
      </c>
      <c r="E461" s="66">
        <v>0.0</v>
      </c>
      <c r="F461" s="66" t="s">
        <v>204</v>
      </c>
      <c r="G461" s="66">
        <f t="shared" si="10"/>
        <v>0</v>
      </c>
      <c r="H461" s="66">
        <v>26.1932</v>
      </c>
      <c r="I461" s="66">
        <v>26.9692</v>
      </c>
      <c r="J461" s="66">
        <v>26.5225</v>
      </c>
      <c r="K461" s="81">
        <f t="shared" si="2"/>
        <v>0.776</v>
      </c>
      <c r="L461" s="81">
        <f t="shared" si="3"/>
        <v>0.3293</v>
      </c>
    </row>
    <row r="462">
      <c r="A462" s="82">
        <v>44655.0</v>
      </c>
      <c r="B462" s="82">
        <v>44655.0</v>
      </c>
      <c r="C462" s="66">
        <v>2089.0</v>
      </c>
      <c r="D462" s="66" t="s">
        <v>203</v>
      </c>
      <c r="E462" s="66">
        <v>1.0</v>
      </c>
      <c r="F462" s="66" t="s">
        <v>205</v>
      </c>
      <c r="G462" s="66">
        <f t="shared" si="10"/>
        <v>0</v>
      </c>
      <c r="H462" s="66">
        <v>25.8289</v>
      </c>
      <c r="I462" s="66">
        <v>30.4171</v>
      </c>
      <c r="J462" s="66">
        <v>28.238</v>
      </c>
      <c r="K462" s="81">
        <f t="shared" si="2"/>
        <v>4.5882</v>
      </c>
      <c r="L462" s="81">
        <f t="shared" si="3"/>
        <v>2.4091</v>
      </c>
    </row>
    <row r="463">
      <c r="A463" s="82">
        <v>44655.0</v>
      </c>
      <c r="B463" s="82">
        <v>44655.0</v>
      </c>
      <c r="C463" s="66">
        <v>2024.0</v>
      </c>
      <c r="D463" s="66" t="s">
        <v>203</v>
      </c>
      <c r="E463" s="66">
        <v>0.0</v>
      </c>
      <c r="F463" s="66" t="s">
        <v>204</v>
      </c>
      <c r="G463" s="66">
        <f t="shared" si="10"/>
        <v>0</v>
      </c>
      <c r="H463" s="66">
        <v>25.7543</v>
      </c>
      <c r="I463" s="66">
        <v>26.68</v>
      </c>
      <c r="J463" s="66">
        <v>25.9506</v>
      </c>
      <c r="K463" s="81">
        <f t="shared" si="2"/>
        <v>0.9257</v>
      </c>
      <c r="L463" s="81">
        <f t="shared" si="3"/>
        <v>0.1963</v>
      </c>
    </row>
    <row r="464">
      <c r="A464" s="82">
        <v>44655.0</v>
      </c>
      <c r="B464" s="82">
        <v>44655.0</v>
      </c>
      <c r="C464" s="66">
        <v>2005.0</v>
      </c>
      <c r="D464" s="66" t="s">
        <v>203</v>
      </c>
      <c r="E464" s="66">
        <v>0.0</v>
      </c>
      <c r="F464" s="66" t="s">
        <v>205</v>
      </c>
      <c r="G464" s="66">
        <f t="shared" si="10"/>
        <v>0</v>
      </c>
      <c r="H464" s="66">
        <v>25.7242</v>
      </c>
      <c r="I464" s="66">
        <v>32.8895</v>
      </c>
      <c r="J464" s="66">
        <v>28.8153</v>
      </c>
      <c r="K464" s="81">
        <f t="shared" si="2"/>
        <v>7.1653</v>
      </c>
      <c r="L464" s="81">
        <f t="shared" si="3"/>
        <v>3.0911</v>
      </c>
    </row>
    <row r="465">
      <c r="A465" s="82">
        <v>44655.0</v>
      </c>
      <c r="B465" s="82">
        <v>44655.0</v>
      </c>
      <c r="C465" s="66">
        <v>2021.0</v>
      </c>
      <c r="D465" s="66" t="s">
        <v>198</v>
      </c>
      <c r="E465" s="66">
        <v>0.0</v>
      </c>
      <c r="F465" s="66" t="s">
        <v>204</v>
      </c>
      <c r="G465" s="66">
        <f t="shared" si="10"/>
        <v>0</v>
      </c>
      <c r="H465" s="66">
        <v>15.344</v>
      </c>
      <c r="I465" s="66">
        <v>15.7636</v>
      </c>
      <c r="J465" s="66">
        <v>15.5144</v>
      </c>
      <c r="K465" s="81">
        <f t="shared" si="2"/>
        <v>0.4196</v>
      </c>
      <c r="L465" s="81">
        <f t="shared" si="3"/>
        <v>0.1704</v>
      </c>
    </row>
    <row r="466">
      <c r="A466" s="82">
        <v>44655.0</v>
      </c>
      <c r="B466" s="82">
        <v>44655.0</v>
      </c>
      <c r="C466" s="66">
        <v>2022.0</v>
      </c>
      <c r="D466" s="66" t="s">
        <v>198</v>
      </c>
      <c r="E466" s="66">
        <v>1.0</v>
      </c>
      <c r="F466" s="66" t="s">
        <v>204</v>
      </c>
      <c r="G466" s="66">
        <f t="shared" si="10"/>
        <v>0</v>
      </c>
      <c r="H466" s="66">
        <v>26.5832</v>
      </c>
      <c r="I466" s="66">
        <v>26.75</v>
      </c>
      <c r="J466" s="66">
        <v>26.9055</v>
      </c>
      <c r="K466" s="81">
        <f t="shared" si="2"/>
        <v>0.1668</v>
      </c>
      <c r="L466" s="81">
        <f t="shared" si="3"/>
        <v>0.3223</v>
      </c>
    </row>
    <row r="467">
      <c r="A467" s="82">
        <v>44655.0</v>
      </c>
      <c r="B467" s="82">
        <v>44655.0</v>
      </c>
      <c r="C467" s="66">
        <v>2027.0</v>
      </c>
      <c r="D467" s="66" t="s">
        <v>198</v>
      </c>
      <c r="E467" s="66">
        <v>0.0</v>
      </c>
      <c r="F467" s="66" t="s">
        <v>204</v>
      </c>
      <c r="G467" s="66">
        <f t="shared" si="10"/>
        <v>0</v>
      </c>
      <c r="H467" s="66">
        <v>26.2668</v>
      </c>
      <c r="I467" s="66">
        <v>26.9642</v>
      </c>
      <c r="J467" s="66">
        <v>26.5994</v>
      </c>
      <c r="K467" s="81">
        <f t="shared" si="2"/>
        <v>0.6974</v>
      </c>
      <c r="L467" s="81">
        <f t="shared" si="3"/>
        <v>0.3326</v>
      </c>
    </row>
    <row r="468">
      <c r="A468" s="82">
        <v>44655.0</v>
      </c>
      <c r="B468" s="82">
        <v>44655.0</v>
      </c>
      <c r="C468" s="66">
        <v>2087.0</v>
      </c>
      <c r="D468" s="66" t="s">
        <v>203</v>
      </c>
      <c r="E468" s="66">
        <v>0.0</v>
      </c>
      <c r="F468" s="66" t="s">
        <v>204</v>
      </c>
      <c r="G468" s="66">
        <f t="shared" si="10"/>
        <v>0</v>
      </c>
      <c r="H468" s="66">
        <v>26.355</v>
      </c>
      <c r="I468" s="66">
        <v>26.9673</v>
      </c>
      <c r="J468" s="66">
        <v>26.6509</v>
      </c>
      <c r="K468" s="81">
        <f t="shared" si="2"/>
        <v>0.6123</v>
      </c>
      <c r="L468" s="81">
        <f t="shared" si="3"/>
        <v>0.2959</v>
      </c>
    </row>
    <row r="469">
      <c r="A469" s="82">
        <v>44655.0</v>
      </c>
      <c r="B469" s="82">
        <v>44655.0</v>
      </c>
      <c r="C469" s="66">
        <v>2014.0</v>
      </c>
      <c r="D469" s="66" t="s">
        <v>198</v>
      </c>
      <c r="E469" s="66">
        <v>0.0</v>
      </c>
      <c r="F469" s="66" t="s">
        <v>205</v>
      </c>
      <c r="G469" s="66">
        <f t="shared" si="10"/>
        <v>0</v>
      </c>
      <c r="H469" s="66">
        <v>25.9272</v>
      </c>
      <c r="I469" s="66">
        <v>28.7987</v>
      </c>
      <c r="J469" s="66">
        <v>26.9342</v>
      </c>
      <c r="K469" s="81">
        <f t="shared" si="2"/>
        <v>2.8715</v>
      </c>
      <c r="L469" s="81">
        <f t="shared" si="3"/>
        <v>1.007</v>
      </c>
      <c r="M469" s="66">
        <v>3.0</v>
      </c>
    </row>
    <row r="470">
      <c r="A470" s="82">
        <v>44655.0</v>
      </c>
      <c r="B470" s="82">
        <v>44655.0</v>
      </c>
      <c r="C470" s="66">
        <v>2086.0</v>
      </c>
      <c r="D470" s="66" t="s">
        <v>203</v>
      </c>
      <c r="E470" s="66">
        <v>0.0</v>
      </c>
      <c r="F470" s="66" t="s">
        <v>205</v>
      </c>
      <c r="G470" s="66">
        <f t="shared" si="10"/>
        <v>0</v>
      </c>
      <c r="H470" s="66">
        <v>25.7902</v>
      </c>
      <c r="I470" s="66">
        <v>31.0075</v>
      </c>
      <c r="J470" s="66">
        <v>27.3285</v>
      </c>
      <c r="K470" s="81">
        <f t="shared" si="2"/>
        <v>5.2173</v>
      </c>
      <c r="L470" s="81">
        <f t="shared" si="3"/>
        <v>1.5383</v>
      </c>
      <c r="M470" s="66">
        <v>5.0</v>
      </c>
    </row>
    <row r="471">
      <c r="A471" s="82">
        <v>44655.0</v>
      </c>
      <c r="B471" s="82">
        <v>44655.0</v>
      </c>
      <c r="C471" s="66">
        <v>2031.0</v>
      </c>
      <c r="D471" s="66" t="s">
        <v>203</v>
      </c>
      <c r="E471" s="66">
        <v>0.0</v>
      </c>
      <c r="F471" s="66" t="s">
        <v>204</v>
      </c>
      <c r="G471" s="66">
        <f t="shared" si="10"/>
        <v>0</v>
      </c>
      <c r="H471" s="66">
        <v>25.9265</v>
      </c>
      <c r="I471" s="66">
        <v>26.6474</v>
      </c>
      <c r="J471" s="66">
        <v>26.0561</v>
      </c>
      <c r="K471" s="81">
        <f t="shared" si="2"/>
        <v>0.7209</v>
      </c>
      <c r="L471" s="81">
        <f t="shared" si="3"/>
        <v>0.1296</v>
      </c>
    </row>
    <row r="472">
      <c r="A472" s="82">
        <v>44655.0</v>
      </c>
      <c r="B472" s="82">
        <v>44655.0</v>
      </c>
      <c r="C472" s="66">
        <v>2086.0</v>
      </c>
      <c r="D472" s="66" t="s">
        <v>203</v>
      </c>
      <c r="E472" s="66">
        <v>0.0</v>
      </c>
      <c r="F472" s="66" t="s">
        <v>204</v>
      </c>
      <c r="G472" s="66">
        <f t="shared" si="10"/>
        <v>0</v>
      </c>
      <c r="H472" s="66">
        <v>26.5299</v>
      </c>
      <c r="I472" s="66">
        <v>27.6661</v>
      </c>
      <c r="J472" s="66">
        <v>26.865</v>
      </c>
      <c r="K472" s="81">
        <f t="shared" si="2"/>
        <v>1.1362</v>
      </c>
      <c r="L472" s="81">
        <f t="shared" si="3"/>
        <v>0.3351</v>
      </c>
      <c r="M472" s="66">
        <v>2.0</v>
      </c>
    </row>
    <row r="473">
      <c r="A473" s="82">
        <v>44655.0</v>
      </c>
      <c r="B473" s="82">
        <v>44655.0</v>
      </c>
      <c r="C473" s="66">
        <v>2091.0</v>
      </c>
      <c r="D473" s="66" t="s">
        <v>58</v>
      </c>
      <c r="E473" s="66">
        <v>1.0</v>
      </c>
      <c r="F473" s="66" t="s">
        <v>204</v>
      </c>
      <c r="G473" s="66">
        <f t="shared" si="10"/>
        <v>0</v>
      </c>
      <c r="H473" s="66">
        <v>26.1664</v>
      </c>
      <c r="I473" s="66">
        <v>27.2728</v>
      </c>
      <c r="J473" s="66">
        <v>26.9001</v>
      </c>
      <c r="K473" s="81">
        <f t="shared" si="2"/>
        <v>1.1064</v>
      </c>
      <c r="L473" s="81">
        <f t="shared" si="3"/>
        <v>0.7337</v>
      </c>
      <c r="M473" s="66">
        <v>4.0</v>
      </c>
    </row>
    <row r="474">
      <c r="A474" s="82">
        <v>44655.0</v>
      </c>
      <c r="B474" s="82">
        <v>44655.0</v>
      </c>
      <c r="C474" s="66">
        <v>2028.0</v>
      </c>
      <c r="D474" s="66" t="s">
        <v>203</v>
      </c>
      <c r="E474" s="66">
        <v>0.0</v>
      </c>
      <c r="F474" s="66" t="s">
        <v>204</v>
      </c>
      <c r="G474" s="66">
        <f t="shared" si="10"/>
        <v>0</v>
      </c>
      <c r="H474" s="66">
        <v>26.0559</v>
      </c>
      <c r="I474" s="66">
        <v>26.5931</v>
      </c>
      <c r="J474" s="66">
        <v>26.2326</v>
      </c>
      <c r="K474" s="81">
        <f t="shared" si="2"/>
        <v>0.5372</v>
      </c>
      <c r="L474" s="81">
        <f t="shared" si="3"/>
        <v>0.1767</v>
      </c>
      <c r="M474" s="66">
        <v>2.0</v>
      </c>
    </row>
    <row r="475">
      <c r="A475" s="82">
        <v>44655.0</v>
      </c>
      <c r="B475" s="82">
        <v>44655.0</v>
      </c>
      <c r="C475" s="66">
        <v>2015.0</v>
      </c>
      <c r="D475" s="66" t="s">
        <v>203</v>
      </c>
      <c r="E475" s="66">
        <v>1.0</v>
      </c>
      <c r="F475" s="66" t="s">
        <v>204</v>
      </c>
      <c r="G475" s="66">
        <f t="shared" si="10"/>
        <v>0</v>
      </c>
      <c r="H475" s="66">
        <v>25.8177</v>
      </c>
      <c r="I475" s="66">
        <v>27.2863</v>
      </c>
      <c r="J475" s="66">
        <v>26.5226</v>
      </c>
      <c r="K475" s="81">
        <f t="shared" si="2"/>
        <v>1.4686</v>
      </c>
      <c r="L475" s="81">
        <f t="shared" si="3"/>
        <v>0.7049</v>
      </c>
      <c r="M475" s="66">
        <v>4.0</v>
      </c>
    </row>
    <row r="476">
      <c r="A476" s="82">
        <v>44655.0</v>
      </c>
      <c r="B476" s="82">
        <v>44655.0</v>
      </c>
      <c r="C476" s="66">
        <v>2030.0</v>
      </c>
      <c r="D476" s="66" t="s">
        <v>198</v>
      </c>
      <c r="E476" s="66">
        <v>0.0</v>
      </c>
      <c r="F476" s="66" t="s">
        <v>205</v>
      </c>
      <c r="G476" s="66">
        <f t="shared" si="10"/>
        <v>0</v>
      </c>
      <c r="H476" s="66">
        <v>25.751</v>
      </c>
      <c r="I476" s="66">
        <v>29.5736</v>
      </c>
      <c r="J476" s="66">
        <v>27.7392</v>
      </c>
      <c r="K476" s="81">
        <f t="shared" si="2"/>
        <v>3.8226</v>
      </c>
      <c r="L476" s="81">
        <f t="shared" si="3"/>
        <v>1.9882</v>
      </c>
      <c r="M476" s="66">
        <v>3.0</v>
      </c>
    </row>
    <row r="477">
      <c r="A477" s="82">
        <v>44655.0</v>
      </c>
      <c r="B477" s="82">
        <v>44655.0</v>
      </c>
      <c r="C477" s="66">
        <v>2025.0</v>
      </c>
      <c r="D477" s="66" t="s">
        <v>198</v>
      </c>
      <c r="E477" s="66">
        <v>0.0</v>
      </c>
      <c r="F477" s="66" t="s">
        <v>205</v>
      </c>
      <c r="G477" s="66">
        <f t="shared" si="10"/>
        <v>0</v>
      </c>
      <c r="H477" s="66">
        <v>25.8341</v>
      </c>
      <c r="I477" s="66">
        <v>30.6206</v>
      </c>
      <c r="J477" s="66">
        <v>28.1627</v>
      </c>
      <c r="K477" s="81">
        <f t="shared" si="2"/>
        <v>4.7865</v>
      </c>
      <c r="L477" s="81">
        <f t="shared" si="3"/>
        <v>2.3286</v>
      </c>
      <c r="M477" s="66">
        <v>4.0</v>
      </c>
    </row>
    <row r="478">
      <c r="A478" s="82">
        <v>44655.0</v>
      </c>
      <c r="B478" s="82">
        <v>44655.0</v>
      </c>
      <c r="C478" s="66">
        <v>2005.0</v>
      </c>
      <c r="D478" s="66" t="s">
        <v>203</v>
      </c>
      <c r="E478" s="66">
        <v>1.0</v>
      </c>
      <c r="F478" s="66" t="s">
        <v>204</v>
      </c>
      <c r="G478" s="66">
        <f t="shared" si="10"/>
        <v>0</v>
      </c>
      <c r="H478" s="66">
        <v>26.0849</v>
      </c>
      <c r="I478" s="66">
        <v>26.5511</v>
      </c>
      <c r="J478" s="66">
        <v>26.4805</v>
      </c>
      <c r="K478" s="81">
        <f t="shared" si="2"/>
        <v>0.4662</v>
      </c>
      <c r="L478" s="81">
        <f t="shared" si="3"/>
        <v>0.3956</v>
      </c>
      <c r="M478" s="66">
        <v>2.0</v>
      </c>
    </row>
    <row r="479">
      <c r="A479" s="82">
        <v>44655.0</v>
      </c>
      <c r="B479" s="82">
        <v>44655.0</v>
      </c>
      <c r="C479" s="66">
        <v>2027.0</v>
      </c>
      <c r="D479" s="66" t="s">
        <v>198</v>
      </c>
      <c r="E479" s="66">
        <v>0.0</v>
      </c>
      <c r="F479" s="66" t="s">
        <v>205</v>
      </c>
      <c r="G479" s="66">
        <f t="shared" si="10"/>
        <v>0</v>
      </c>
      <c r="H479" s="66">
        <v>25.7434</v>
      </c>
      <c r="I479" s="66">
        <v>31.5626</v>
      </c>
      <c r="J479" s="66">
        <v>28.454</v>
      </c>
      <c r="K479" s="81">
        <f t="shared" si="2"/>
        <v>5.8192</v>
      </c>
      <c r="L479" s="81">
        <f t="shared" si="3"/>
        <v>2.7106</v>
      </c>
      <c r="M479" s="66">
        <v>3.0</v>
      </c>
    </row>
    <row r="480">
      <c r="A480" s="82">
        <v>44655.0</v>
      </c>
      <c r="B480" s="82">
        <v>44655.0</v>
      </c>
      <c r="C480" s="66">
        <v>2028.0</v>
      </c>
      <c r="D480" s="66" t="s">
        <v>203</v>
      </c>
      <c r="E480" s="66">
        <v>1.0</v>
      </c>
      <c r="F480" s="66" t="s">
        <v>204</v>
      </c>
      <c r="G480" s="66">
        <f t="shared" si="10"/>
        <v>0</v>
      </c>
      <c r="H480" s="66">
        <v>25.2967</v>
      </c>
      <c r="I480" s="66">
        <v>26.6481</v>
      </c>
      <c r="J480" s="66">
        <v>25.7962</v>
      </c>
      <c r="K480" s="81">
        <f t="shared" si="2"/>
        <v>1.3514</v>
      </c>
      <c r="L480" s="81">
        <f t="shared" si="3"/>
        <v>0.4995</v>
      </c>
      <c r="M480" s="66">
        <v>2.0</v>
      </c>
    </row>
    <row r="481">
      <c r="A481" s="82">
        <v>44655.0</v>
      </c>
      <c r="B481" s="82">
        <v>44655.0</v>
      </c>
      <c r="C481" s="66">
        <v>2022.0</v>
      </c>
      <c r="D481" s="66" t="s">
        <v>198</v>
      </c>
      <c r="E481" s="66">
        <v>0.0</v>
      </c>
      <c r="F481" s="66" t="s">
        <v>205</v>
      </c>
      <c r="G481" s="66">
        <f t="shared" si="10"/>
        <v>0</v>
      </c>
      <c r="H481" s="66">
        <v>26.1863</v>
      </c>
      <c r="I481" s="66">
        <v>29.8743</v>
      </c>
      <c r="J481" s="66">
        <v>28.0259</v>
      </c>
      <c r="K481" s="81">
        <f t="shared" si="2"/>
        <v>3.688</v>
      </c>
      <c r="L481" s="81">
        <f t="shared" si="3"/>
        <v>1.8396</v>
      </c>
      <c r="M481" s="66">
        <v>1.0</v>
      </c>
    </row>
    <row r="482">
      <c r="A482" s="82">
        <v>44655.0</v>
      </c>
      <c r="B482" s="82">
        <v>44655.0</v>
      </c>
      <c r="C482" s="66">
        <v>2093.0</v>
      </c>
      <c r="D482" s="66" t="s">
        <v>203</v>
      </c>
      <c r="E482" s="66">
        <v>0.0</v>
      </c>
      <c r="F482" s="66" t="s">
        <v>204</v>
      </c>
      <c r="G482" s="66">
        <f t="shared" si="10"/>
        <v>0</v>
      </c>
      <c r="H482" s="66">
        <v>14.8138</v>
      </c>
      <c r="I482" s="66">
        <v>15.3997</v>
      </c>
      <c r="J482" s="66">
        <v>14.8704</v>
      </c>
      <c r="K482" s="81">
        <f t="shared" si="2"/>
        <v>0.5859</v>
      </c>
      <c r="L482" s="81">
        <f t="shared" si="3"/>
        <v>0.0566</v>
      </c>
      <c r="M482" s="66">
        <v>1.0</v>
      </c>
    </row>
    <row r="483">
      <c r="A483" s="82">
        <v>44655.0</v>
      </c>
      <c r="B483" s="82">
        <v>44655.0</v>
      </c>
      <c r="C483" s="66">
        <v>2025.0</v>
      </c>
      <c r="D483" s="66" t="s">
        <v>203</v>
      </c>
      <c r="E483" s="66">
        <v>0.0</v>
      </c>
      <c r="F483" s="66" t="s">
        <v>205</v>
      </c>
      <c r="G483" s="66">
        <f t="shared" si="10"/>
        <v>0</v>
      </c>
      <c r="H483" s="66">
        <v>26.259</v>
      </c>
      <c r="I483" s="66">
        <v>32.724</v>
      </c>
      <c r="J483" s="66">
        <v>29.1754</v>
      </c>
      <c r="K483" s="81">
        <f t="shared" si="2"/>
        <v>6.465</v>
      </c>
      <c r="L483" s="81">
        <f t="shared" si="3"/>
        <v>2.9164</v>
      </c>
      <c r="M483" s="66">
        <v>1.0</v>
      </c>
    </row>
    <row r="484">
      <c r="A484" s="82">
        <v>44655.0</v>
      </c>
      <c r="B484" s="82">
        <v>44655.0</v>
      </c>
      <c r="C484" s="66">
        <v>2031.0</v>
      </c>
      <c r="D484" s="66" t="s">
        <v>203</v>
      </c>
      <c r="E484" s="66">
        <v>1.0</v>
      </c>
      <c r="F484" s="66" t="s">
        <v>205</v>
      </c>
      <c r="G484" s="66">
        <f t="shared" si="10"/>
        <v>0</v>
      </c>
      <c r="H484" s="66">
        <v>26.0808</v>
      </c>
      <c r="I484" s="66">
        <v>27.132</v>
      </c>
      <c r="J484" s="66">
        <v>26.6089</v>
      </c>
      <c r="K484" s="81">
        <f t="shared" si="2"/>
        <v>1.0512</v>
      </c>
      <c r="L484" s="81">
        <f t="shared" si="3"/>
        <v>0.5281</v>
      </c>
      <c r="M484" s="66">
        <v>4.0</v>
      </c>
    </row>
    <row r="485">
      <c r="A485" s="82">
        <v>44655.0</v>
      </c>
      <c r="B485" s="82">
        <v>44655.0</v>
      </c>
      <c r="C485" s="66">
        <v>2011.0</v>
      </c>
      <c r="D485" s="66" t="s">
        <v>203</v>
      </c>
      <c r="E485" s="66">
        <v>1.0</v>
      </c>
      <c r="F485" s="66" t="s">
        <v>204</v>
      </c>
      <c r="G485" s="66">
        <f t="shared" si="10"/>
        <v>0</v>
      </c>
      <c r="H485" s="66">
        <v>26.3089</v>
      </c>
      <c r="I485" s="66">
        <v>27.6462</v>
      </c>
      <c r="J485" s="66">
        <v>27.0188</v>
      </c>
      <c r="K485" s="81">
        <f t="shared" si="2"/>
        <v>1.3373</v>
      </c>
      <c r="L485" s="81">
        <f t="shared" si="3"/>
        <v>0.7099</v>
      </c>
    </row>
    <row r="486">
      <c r="A486" s="82">
        <v>44655.0</v>
      </c>
      <c r="B486" s="82">
        <v>44655.0</v>
      </c>
      <c r="C486" s="66">
        <v>2020.0</v>
      </c>
      <c r="D486" s="66" t="s">
        <v>203</v>
      </c>
      <c r="E486" s="66">
        <v>0.0</v>
      </c>
      <c r="F486" s="66" t="s">
        <v>205</v>
      </c>
      <c r="G486" s="66">
        <f t="shared" si="10"/>
        <v>0</v>
      </c>
      <c r="H486" s="66">
        <v>15.4223</v>
      </c>
      <c r="I486" s="66">
        <v>22.1666</v>
      </c>
      <c r="J486" s="66">
        <v>18.3334</v>
      </c>
      <c r="K486" s="81">
        <f t="shared" si="2"/>
        <v>6.7443</v>
      </c>
      <c r="L486" s="81">
        <f t="shared" si="3"/>
        <v>2.9111</v>
      </c>
      <c r="M486" s="66">
        <v>2.0</v>
      </c>
    </row>
    <row r="487">
      <c r="A487" s="82">
        <v>44655.0</v>
      </c>
      <c r="B487" s="82">
        <v>44655.0</v>
      </c>
      <c r="C487" s="66">
        <v>2015.0</v>
      </c>
      <c r="D487" s="66" t="s">
        <v>203</v>
      </c>
      <c r="E487" s="66">
        <v>0.0</v>
      </c>
      <c r="F487" s="66" t="s">
        <v>205</v>
      </c>
      <c r="G487" s="66">
        <f t="shared" si="10"/>
        <v>0</v>
      </c>
      <c r="H487" s="66">
        <v>26.2509</v>
      </c>
      <c r="I487" s="66">
        <v>34.1866</v>
      </c>
      <c r="J487" s="66">
        <v>29.7915</v>
      </c>
      <c r="K487" s="81">
        <f t="shared" si="2"/>
        <v>7.9357</v>
      </c>
      <c r="L487" s="81">
        <f t="shared" si="3"/>
        <v>3.5406</v>
      </c>
    </row>
    <row r="488">
      <c r="A488" s="82">
        <v>44655.0</v>
      </c>
      <c r="B488" s="82">
        <v>44655.0</v>
      </c>
      <c r="C488" s="66">
        <v>1478.0</v>
      </c>
      <c r="D488" s="66" t="s">
        <v>203</v>
      </c>
      <c r="E488" s="66">
        <v>0.0</v>
      </c>
      <c r="F488" s="66" t="s">
        <v>204</v>
      </c>
      <c r="G488" s="66">
        <f t="shared" si="10"/>
        <v>0</v>
      </c>
      <c r="H488" s="66">
        <v>26.157</v>
      </c>
      <c r="I488" s="66">
        <v>26.9587</v>
      </c>
      <c r="J488" s="66">
        <v>26.4866</v>
      </c>
      <c r="K488" s="81">
        <f t="shared" si="2"/>
        <v>0.8017</v>
      </c>
      <c r="L488" s="81">
        <f t="shared" si="3"/>
        <v>0.3296</v>
      </c>
      <c r="M488" s="66">
        <v>2.0</v>
      </c>
    </row>
    <row r="489">
      <c r="A489" s="82">
        <v>44655.0</v>
      </c>
      <c r="B489" s="82">
        <v>44655.0</v>
      </c>
      <c r="C489" s="66">
        <v>2029.0</v>
      </c>
      <c r="D489" s="66" t="s">
        <v>198</v>
      </c>
      <c r="E489" s="66">
        <v>1.0</v>
      </c>
      <c r="F489" s="66" t="s">
        <v>205</v>
      </c>
      <c r="G489" s="66">
        <f t="shared" si="10"/>
        <v>0</v>
      </c>
      <c r="H489" s="66">
        <v>26.3083</v>
      </c>
      <c r="I489" s="66">
        <v>28.934</v>
      </c>
      <c r="J489" s="66">
        <v>27.8872</v>
      </c>
      <c r="K489" s="81">
        <f t="shared" si="2"/>
        <v>2.6257</v>
      </c>
      <c r="L489" s="81">
        <f t="shared" si="3"/>
        <v>1.5789</v>
      </c>
    </row>
    <row r="490">
      <c r="A490" s="82">
        <v>44655.0</v>
      </c>
      <c r="B490" s="82">
        <v>44655.0</v>
      </c>
      <c r="C490" s="66" t="s">
        <v>95</v>
      </c>
      <c r="D490" s="66" t="s">
        <v>203</v>
      </c>
      <c r="E490" s="66">
        <v>0.0</v>
      </c>
      <c r="F490" s="66" t="s">
        <v>199</v>
      </c>
      <c r="G490" s="66">
        <f t="shared" si="10"/>
        <v>0</v>
      </c>
      <c r="H490" s="66">
        <v>26.2971</v>
      </c>
      <c r="I490" s="66">
        <v>30.6492</v>
      </c>
      <c r="J490" s="66">
        <v>27.7628</v>
      </c>
      <c r="K490" s="81">
        <f t="shared" si="2"/>
        <v>4.3521</v>
      </c>
      <c r="L490" s="81">
        <f t="shared" si="3"/>
        <v>1.4657</v>
      </c>
      <c r="M490" s="66">
        <v>1.0</v>
      </c>
    </row>
    <row r="491">
      <c r="A491" s="82">
        <v>44655.0</v>
      </c>
      <c r="B491" s="82">
        <v>44655.0</v>
      </c>
      <c r="C491" s="66">
        <v>2030.0</v>
      </c>
      <c r="D491" s="66" t="s">
        <v>198</v>
      </c>
      <c r="E491" s="66">
        <v>1.0</v>
      </c>
      <c r="F491" s="66" t="s">
        <v>205</v>
      </c>
      <c r="G491" s="66">
        <f t="shared" si="10"/>
        <v>0</v>
      </c>
      <c r="H491" s="66">
        <v>25.9105</v>
      </c>
      <c r="I491" s="66">
        <v>26.3294</v>
      </c>
      <c r="J491" s="66">
        <v>26.2056</v>
      </c>
      <c r="K491" s="81">
        <f t="shared" si="2"/>
        <v>0.4189</v>
      </c>
      <c r="L491" s="81">
        <f t="shared" si="3"/>
        <v>0.2951</v>
      </c>
    </row>
    <row r="492">
      <c r="A492" s="82">
        <v>44655.0</v>
      </c>
      <c r="B492" s="82">
        <v>44655.0</v>
      </c>
      <c r="C492" s="66">
        <v>2090.0</v>
      </c>
      <c r="D492" s="66" t="s">
        <v>203</v>
      </c>
      <c r="E492" s="66">
        <v>0.0</v>
      </c>
      <c r="F492" s="66" t="s">
        <v>204</v>
      </c>
      <c r="G492" s="66">
        <f t="shared" si="10"/>
        <v>0</v>
      </c>
      <c r="H492" s="66">
        <v>25.6921</v>
      </c>
      <c r="I492" s="66">
        <v>26.422</v>
      </c>
      <c r="J492" s="66">
        <v>25.7958</v>
      </c>
      <c r="K492" s="81">
        <f t="shared" si="2"/>
        <v>0.7299</v>
      </c>
      <c r="L492" s="81">
        <f t="shared" si="3"/>
        <v>0.1037</v>
      </c>
    </row>
    <row r="493">
      <c r="A493" s="82">
        <v>44655.0</v>
      </c>
      <c r="B493" s="82">
        <v>44655.0</v>
      </c>
      <c r="C493" s="66">
        <v>2090.0</v>
      </c>
      <c r="D493" s="66" t="s">
        <v>203</v>
      </c>
      <c r="E493" s="66">
        <v>0.0</v>
      </c>
      <c r="F493" s="66" t="s">
        <v>205</v>
      </c>
      <c r="G493" s="66">
        <f t="shared" si="10"/>
        <v>0</v>
      </c>
      <c r="H493" s="66">
        <v>25.865</v>
      </c>
      <c r="I493" s="66">
        <v>29.9086</v>
      </c>
      <c r="J493" s="66">
        <v>27.2839</v>
      </c>
      <c r="K493" s="81">
        <f t="shared" si="2"/>
        <v>4.0436</v>
      </c>
      <c r="L493" s="81">
        <f t="shared" si="3"/>
        <v>1.4189</v>
      </c>
    </row>
    <row r="494">
      <c r="A494" s="82">
        <v>44655.0</v>
      </c>
      <c r="B494" s="82">
        <v>44655.0</v>
      </c>
      <c r="C494" s="66">
        <v>2022.0</v>
      </c>
      <c r="D494" s="66" t="s">
        <v>198</v>
      </c>
      <c r="E494" s="66">
        <v>0.0</v>
      </c>
      <c r="F494" s="66" t="s">
        <v>204</v>
      </c>
      <c r="G494" s="66">
        <f t="shared" si="10"/>
        <v>0</v>
      </c>
      <c r="H494" s="66">
        <v>26.5813</v>
      </c>
      <c r="I494" s="66">
        <v>26.861</v>
      </c>
      <c r="J494" s="66">
        <v>26.7102</v>
      </c>
      <c r="K494" s="81">
        <f t="shared" si="2"/>
        <v>0.2797</v>
      </c>
      <c r="L494" s="81">
        <f t="shared" si="3"/>
        <v>0.1289</v>
      </c>
    </row>
    <row r="495">
      <c r="A495" s="82">
        <v>44655.0</v>
      </c>
      <c r="B495" s="82">
        <v>44655.0</v>
      </c>
      <c r="C495" s="66">
        <v>2008.0</v>
      </c>
      <c r="D495" s="66" t="s">
        <v>203</v>
      </c>
      <c r="E495" s="66">
        <v>1.0</v>
      </c>
      <c r="F495" s="66" t="s">
        <v>204</v>
      </c>
      <c r="G495" s="66">
        <f t="shared" si="10"/>
        <v>0</v>
      </c>
      <c r="H495" s="66">
        <v>26.5093</v>
      </c>
      <c r="I495" s="66">
        <v>27.5948</v>
      </c>
      <c r="J495" s="66">
        <v>27.2555</v>
      </c>
      <c r="K495" s="81">
        <f t="shared" si="2"/>
        <v>1.0855</v>
      </c>
      <c r="L495" s="81">
        <f t="shared" si="3"/>
        <v>0.7462</v>
      </c>
      <c r="M495" s="66">
        <v>3.0</v>
      </c>
    </row>
    <row r="496">
      <c r="A496" s="82">
        <v>44655.0</v>
      </c>
      <c r="B496" s="82">
        <v>44655.0</v>
      </c>
      <c r="C496" s="66">
        <v>2089.0</v>
      </c>
      <c r="D496" s="66" t="s">
        <v>203</v>
      </c>
      <c r="E496" s="66">
        <v>1.0</v>
      </c>
      <c r="F496" s="66" t="s">
        <v>204</v>
      </c>
      <c r="G496" s="66">
        <f t="shared" si="10"/>
        <v>0</v>
      </c>
      <c r="H496" s="66">
        <v>26.1011</v>
      </c>
      <c r="I496" s="66">
        <v>26.1795</v>
      </c>
      <c r="J496" s="66">
        <v>26.38</v>
      </c>
      <c r="K496" s="81">
        <f t="shared" si="2"/>
        <v>0.0784</v>
      </c>
      <c r="L496" s="81">
        <f t="shared" si="3"/>
        <v>0.2789</v>
      </c>
      <c r="M496" s="66">
        <v>4.0</v>
      </c>
    </row>
    <row r="497">
      <c r="A497" s="82">
        <v>44655.0</v>
      </c>
      <c r="B497" s="82">
        <v>44655.0</v>
      </c>
      <c r="C497" s="66">
        <v>2026.0</v>
      </c>
      <c r="D497" s="66" t="s">
        <v>203</v>
      </c>
      <c r="E497" s="66">
        <v>0.0</v>
      </c>
      <c r="F497" s="66" t="s">
        <v>204</v>
      </c>
      <c r="G497" s="66">
        <f t="shared" si="10"/>
        <v>0</v>
      </c>
      <c r="H497" s="66">
        <v>26.4466</v>
      </c>
      <c r="I497" s="66">
        <v>26.775</v>
      </c>
      <c r="J497" s="66">
        <v>26.6058</v>
      </c>
      <c r="K497" s="81">
        <f t="shared" si="2"/>
        <v>0.3284</v>
      </c>
      <c r="L497" s="81">
        <f t="shared" si="3"/>
        <v>0.1592</v>
      </c>
      <c r="M497" s="66">
        <v>5.0</v>
      </c>
    </row>
    <row r="498">
      <c r="A498" s="82">
        <v>44655.0</v>
      </c>
      <c r="B498" s="82">
        <v>44655.0</v>
      </c>
      <c r="C498" s="66">
        <v>2013.0</v>
      </c>
      <c r="D498" s="66" t="s">
        <v>198</v>
      </c>
      <c r="E498" s="66">
        <v>1.0</v>
      </c>
      <c r="F498" s="66" t="s">
        <v>204</v>
      </c>
      <c r="G498" s="66">
        <f t="shared" si="10"/>
        <v>0</v>
      </c>
      <c r="H498" s="66">
        <v>25.8835</v>
      </c>
      <c r="I498" s="66">
        <v>26.7522</v>
      </c>
      <c r="J498" s="66">
        <v>26.2867</v>
      </c>
      <c r="K498" s="81">
        <f t="shared" si="2"/>
        <v>0.8687</v>
      </c>
      <c r="L498" s="81">
        <f t="shared" si="3"/>
        <v>0.4032</v>
      </c>
    </row>
    <row r="499">
      <c r="A499" s="82">
        <v>44655.0</v>
      </c>
      <c r="B499" s="82">
        <v>44655.0</v>
      </c>
      <c r="C499" s="66">
        <v>2007.0</v>
      </c>
      <c r="D499" s="66" t="s">
        <v>203</v>
      </c>
      <c r="E499" s="66">
        <v>1.0</v>
      </c>
      <c r="F499" s="66" t="s">
        <v>204</v>
      </c>
      <c r="G499" s="66">
        <f t="shared" si="10"/>
        <v>0</v>
      </c>
      <c r="H499" s="66">
        <v>25.7793</v>
      </c>
      <c r="I499" s="66">
        <v>26.3918</v>
      </c>
      <c r="J499" s="66">
        <v>26.062</v>
      </c>
      <c r="K499" s="81">
        <f t="shared" si="2"/>
        <v>0.6125</v>
      </c>
      <c r="L499" s="81">
        <f t="shared" si="3"/>
        <v>0.2827</v>
      </c>
    </row>
    <row r="500">
      <c r="A500" s="82">
        <v>44655.0</v>
      </c>
      <c r="B500" s="82">
        <v>44655.0</v>
      </c>
      <c r="C500" s="66">
        <v>2030.0</v>
      </c>
      <c r="D500" s="66" t="s">
        <v>198</v>
      </c>
      <c r="E500" s="66">
        <v>1.0</v>
      </c>
      <c r="F500" s="66" t="s">
        <v>204</v>
      </c>
      <c r="G500" s="66">
        <f t="shared" si="10"/>
        <v>0</v>
      </c>
      <c r="H500" s="66">
        <v>15.5665</v>
      </c>
      <c r="I500" s="66">
        <v>15.7277</v>
      </c>
      <c r="J500" s="66">
        <v>15.883</v>
      </c>
      <c r="K500" s="81">
        <f t="shared" si="2"/>
        <v>0.1612</v>
      </c>
      <c r="L500" s="81">
        <f t="shared" si="3"/>
        <v>0.3165</v>
      </c>
    </row>
    <row r="501">
      <c r="A501" s="82">
        <v>44655.0</v>
      </c>
      <c r="B501" s="82">
        <v>44655.0</v>
      </c>
      <c r="C501" s="66" t="s">
        <v>95</v>
      </c>
      <c r="D501" s="66" t="s">
        <v>203</v>
      </c>
      <c r="E501" s="66">
        <v>0.0</v>
      </c>
      <c r="F501" s="66" t="s">
        <v>199</v>
      </c>
      <c r="G501" s="66">
        <f t="shared" si="10"/>
        <v>0</v>
      </c>
      <c r="H501" s="66">
        <v>25.8207</v>
      </c>
      <c r="I501" s="66">
        <v>31.4223</v>
      </c>
      <c r="J501" s="66">
        <v>27.5656</v>
      </c>
      <c r="K501" s="81">
        <f t="shared" si="2"/>
        <v>5.6016</v>
      </c>
      <c r="L501" s="81">
        <f t="shared" si="3"/>
        <v>1.7449</v>
      </c>
    </row>
    <row r="502">
      <c r="A502" s="82">
        <v>44655.0</v>
      </c>
      <c r="B502" s="82">
        <v>44655.0</v>
      </c>
      <c r="C502" s="66">
        <v>2030.0</v>
      </c>
      <c r="D502" s="66" t="s">
        <v>198</v>
      </c>
      <c r="E502" s="66">
        <v>0.0</v>
      </c>
      <c r="F502" s="66" t="s">
        <v>204</v>
      </c>
      <c r="G502" s="66">
        <f t="shared" si="10"/>
        <v>0</v>
      </c>
      <c r="H502" s="66">
        <v>15.6256</v>
      </c>
      <c r="I502" s="66">
        <v>15.9256</v>
      </c>
      <c r="J502" s="66">
        <v>15.8303</v>
      </c>
      <c r="K502" s="81">
        <f t="shared" si="2"/>
        <v>0.3</v>
      </c>
      <c r="L502" s="81">
        <f t="shared" si="3"/>
        <v>0.2047</v>
      </c>
    </row>
    <row r="503">
      <c r="A503" s="82">
        <v>44655.0</v>
      </c>
      <c r="B503" s="82">
        <v>44655.0</v>
      </c>
      <c r="C503" s="66">
        <v>2022.0</v>
      </c>
      <c r="D503" s="66" t="s">
        <v>198</v>
      </c>
      <c r="E503" s="66">
        <v>1.0</v>
      </c>
      <c r="F503" s="66" t="s">
        <v>205</v>
      </c>
      <c r="G503" s="66">
        <f t="shared" si="10"/>
        <v>0</v>
      </c>
      <c r="H503" s="66">
        <v>26.2969</v>
      </c>
      <c r="I503" s="66">
        <v>29.5968</v>
      </c>
      <c r="J503" s="66">
        <v>28.2144</v>
      </c>
      <c r="K503" s="81">
        <f t="shared" si="2"/>
        <v>3.2999</v>
      </c>
      <c r="L503" s="81">
        <f t="shared" si="3"/>
        <v>1.9175</v>
      </c>
    </row>
    <row r="504">
      <c r="A504" s="82">
        <v>44655.0</v>
      </c>
      <c r="B504" s="82">
        <v>44655.0</v>
      </c>
      <c r="C504" s="66">
        <v>2014.0</v>
      </c>
      <c r="D504" s="66" t="s">
        <v>203</v>
      </c>
      <c r="E504" s="66">
        <v>1.0</v>
      </c>
      <c r="F504" s="66" t="s">
        <v>204</v>
      </c>
      <c r="G504" s="66">
        <f t="shared" si="10"/>
        <v>0</v>
      </c>
      <c r="H504" s="66">
        <v>25.4844</v>
      </c>
      <c r="I504" s="66">
        <v>26.7995</v>
      </c>
      <c r="J504" s="66">
        <v>25.8833</v>
      </c>
      <c r="K504" s="81">
        <f t="shared" si="2"/>
        <v>1.3151</v>
      </c>
      <c r="L504" s="81">
        <f t="shared" si="3"/>
        <v>0.3989</v>
      </c>
    </row>
    <row r="505">
      <c r="A505" s="82">
        <v>44655.0</v>
      </c>
      <c r="B505" s="82">
        <v>44655.0</v>
      </c>
      <c r="C505" s="66">
        <v>2301.0</v>
      </c>
      <c r="D505" s="66" t="s">
        <v>203</v>
      </c>
      <c r="E505" s="66">
        <v>1.0</v>
      </c>
      <c r="F505" s="66" t="s">
        <v>205</v>
      </c>
      <c r="G505" s="66">
        <f t="shared" si="10"/>
        <v>0</v>
      </c>
      <c r="H505" s="66">
        <v>0.0</v>
      </c>
      <c r="I505" s="66">
        <v>6.8129</v>
      </c>
      <c r="J505" s="66">
        <v>4.231</v>
      </c>
      <c r="K505" s="81">
        <f t="shared" si="2"/>
        <v>6.8129</v>
      </c>
      <c r="L505" s="81">
        <f t="shared" si="3"/>
        <v>4.231</v>
      </c>
    </row>
    <row r="506">
      <c r="A506" s="82">
        <v>44655.0</v>
      </c>
      <c r="B506" s="82">
        <v>44655.0</v>
      </c>
      <c r="C506" s="66">
        <v>2377.0</v>
      </c>
      <c r="D506" s="66" t="s">
        <v>203</v>
      </c>
      <c r="E506" s="66">
        <v>0.0</v>
      </c>
      <c r="F506" s="66" t="s">
        <v>205</v>
      </c>
      <c r="G506" s="66">
        <f t="shared" si="10"/>
        <v>0</v>
      </c>
      <c r="H506" s="66">
        <v>0.0</v>
      </c>
      <c r="I506" s="66">
        <v>0.9708</v>
      </c>
      <c r="J506" s="66">
        <v>0.508</v>
      </c>
      <c r="K506" s="81">
        <f t="shared" si="2"/>
        <v>0.9708</v>
      </c>
      <c r="L506" s="81">
        <f t="shared" si="3"/>
        <v>0.508</v>
      </c>
    </row>
    <row r="507">
      <c r="A507" s="82">
        <v>44655.0</v>
      </c>
      <c r="B507" s="82">
        <v>44655.0</v>
      </c>
      <c r="C507" s="66">
        <v>2343.0</v>
      </c>
      <c r="D507" s="66" t="s">
        <v>203</v>
      </c>
      <c r="E507" s="66">
        <v>0.0</v>
      </c>
      <c r="F507" s="66" t="s">
        <v>205</v>
      </c>
      <c r="G507" s="66">
        <f t="shared" si="10"/>
        <v>0</v>
      </c>
      <c r="H507" s="66">
        <v>0.0</v>
      </c>
      <c r="I507" s="66">
        <v>7.8771</v>
      </c>
      <c r="J507" s="66">
        <v>3.733</v>
      </c>
      <c r="K507" s="81">
        <f t="shared" si="2"/>
        <v>7.8771</v>
      </c>
      <c r="L507" s="81">
        <f t="shared" si="3"/>
        <v>3.733</v>
      </c>
    </row>
    <row r="508">
      <c r="A508" s="82">
        <v>44655.0</v>
      </c>
      <c r="B508" s="82">
        <v>44655.0</v>
      </c>
      <c r="C508" s="66">
        <v>2384.0</v>
      </c>
      <c r="D508" s="66" t="s">
        <v>203</v>
      </c>
      <c r="E508" s="66">
        <v>0.0</v>
      </c>
      <c r="F508" s="66" t="s">
        <v>205</v>
      </c>
      <c r="G508" s="66">
        <f t="shared" si="10"/>
        <v>0</v>
      </c>
      <c r="H508" s="66">
        <v>0.0</v>
      </c>
      <c r="I508" s="66">
        <v>2.3248</v>
      </c>
      <c r="J508" s="66">
        <v>1.252</v>
      </c>
      <c r="K508" s="81">
        <f t="shared" si="2"/>
        <v>2.3248</v>
      </c>
      <c r="L508" s="81">
        <f t="shared" si="3"/>
        <v>1.252</v>
      </c>
    </row>
    <row r="509">
      <c r="A509" s="82">
        <v>44655.0</v>
      </c>
      <c r="B509" s="82">
        <v>44655.0</v>
      </c>
      <c r="C509" s="66">
        <v>2009.0</v>
      </c>
      <c r="D509" s="66" t="s">
        <v>203</v>
      </c>
      <c r="E509" s="66">
        <v>0.0</v>
      </c>
      <c r="F509" s="66" t="s">
        <v>205</v>
      </c>
      <c r="G509" s="66">
        <f t="shared" si="10"/>
        <v>0</v>
      </c>
      <c r="H509" s="66">
        <v>0.0</v>
      </c>
      <c r="I509" s="66">
        <v>5.8315</v>
      </c>
      <c r="J509" s="66">
        <v>2.846</v>
      </c>
      <c r="K509" s="81">
        <f t="shared" si="2"/>
        <v>5.8315</v>
      </c>
      <c r="L509" s="81">
        <f t="shared" si="3"/>
        <v>2.846</v>
      </c>
    </row>
    <row r="510">
      <c r="A510" s="82">
        <v>44655.0</v>
      </c>
      <c r="B510" s="82">
        <v>44655.0</v>
      </c>
      <c r="C510" s="66">
        <v>2331.0</v>
      </c>
      <c r="D510" s="66" t="s">
        <v>203</v>
      </c>
      <c r="E510" s="66">
        <v>1.0</v>
      </c>
      <c r="F510" s="66" t="s">
        <v>205</v>
      </c>
      <c r="G510" s="66">
        <f t="shared" si="10"/>
        <v>0</v>
      </c>
      <c r="H510" s="66">
        <v>0.0</v>
      </c>
      <c r="I510" s="66">
        <v>5.9126</v>
      </c>
      <c r="J510" s="66">
        <v>3.726</v>
      </c>
      <c r="K510" s="81">
        <f t="shared" si="2"/>
        <v>5.9126</v>
      </c>
      <c r="L510" s="81">
        <f t="shared" si="3"/>
        <v>3.726</v>
      </c>
    </row>
    <row r="511">
      <c r="A511" s="82">
        <v>44655.0</v>
      </c>
      <c r="B511" s="82">
        <v>44655.0</v>
      </c>
      <c r="C511" s="66">
        <v>2354.0</v>
      </c>
      <c r="D511" s="66" t="s">
        <v>203</v>
      </c>
      <c r="E511" s="66">
        <v>0.0</v>
      </c>
      <c r="F511" s="66" t="s">
        <v>205</v>
      </c>
      <c r="G511" s="66">
        <f t="shared" si="10"/>
        <v>0</v>
      </c>
      <c r="H511" s="66">
        <v>0.0</v>
      </c>
      <c r="I511" s="66">
        <v>3.4094</v>
      </c>
      <c r="J511" s="66">
        <v>1.696</v>
      </c>
      <c r="K511" s="81">
        <f t="shared" si="2"/>
        <v>3.4094</v>
      </c>
      <c r="L511" s="81">
        <f t="shared" si="3"/>
        <v>1.696</v>
      </c>
    </row>
    <row r="512">
      <c r="A512" s="82">
        <v>44655.0</v>
      </c>
      <c r="B512" s="82">
        <v>44655.0</v>
      </c>
      <c r="C512" s="66">
        <v>2354.0</v>
      </c>
      <c r="D512" s="66" t="s">
        <v>203</v>
      </c>
      <c r="E512" s="66">
        <v>1.0</v>
      </c>
      <c r="F512" s="66" t="s">
        <v>205</v>
      </c>
      <c r="G512" s="66">
        <f t="shared" si="10"/>
        <v>0</v>
      </c>
      <c r="H512" s="66">
        <v>0.0</v>
      </c>
      <c r="I512" s="66">
        <v>3.8779</v>
      </c>
      <c r="J512" s="66">
        <v>2.346</v>
      </c>
      <c r="K512" s="81">
        <f t="shared" si="2"/>
        <v>3.8779</v>
      </c>
      <c r="L512" s="81">
        <f t="shared" si="3"/>
        <v>2.346</v>
      </c>
    </row>
    <row r="513">
      <c r="A513" s="82">
        <v>44655.0</v>
      </c>
      <c r="B513" s="82">
        <v>44655.0</v>
      </c>
      <c r="C513" s="66">
        <v>2372.0</v>
      </c>
      <c r="D513" s="66" t="s">
        <v>203</v>
      </c>
      <c r="E513" s="66">
        <v>0.0</v>
      </c>
      <c r="F513" s="66" t="s">
        <v>205</v>
      </c>
      <c r="G513" s="66">
        <f t="shared" si="10"/>
        <v>0</v>
      </c>
      <c r="H513" s="66">
        <v>0.0</v>
      </c>
      <c r="I513" s="66">
        <v>3.5645</v>
      </c>
      <c r="J513" s="66">
        <v>1.649</v>
      </c>
      <c r="K513" s="81">
        <f t="shared" si="2"/>
        <v>3.5645</v>
      </c>
      <c r="L513" s="81">
        <f t="shared" si="3"/>
        <v>1.649</v>
      </c>
    </row>
    <row r="514">
      <c r="A514" s="82">
        <v>44655.0</v>
      </c>
      <c r="B514" s="82">
        <v>44655.0</v>
      </c>
      <c r="C514" s="66">
        <v>2369.0</v>
      </c>
      <c r="D514" s="66" t="s">
        <v>203</v>
      </c>
      <c r="E514" s="66">
        <v>0.0</v>
      </c>
      <c r="F514" s="66" t="s">
        <v>205</v>
      </c>
      <c r="G514" s="66">
        <f t="shared" si="10"/>
        <v>0</v>
      </c>
      <c r="H514" s="66">
        <v>0.0</v>
      </c>
      <c r="I514" s="66">
        <v>2.7164</v>
      </c>
      <c r="J514" s="66">
        <v>1.375</v>
      </c>
      <c r="K514" s="81">
        <f t="shared" si="2"/>
        <v>2.7164</v>
      </c>
      <c r="L514" s="81">
        <f t="shared" si="3"/>
        <v>1.375</v>
      </c>
    </row>
    <row r="515">
      <c r="A515" s="82">
        <v>44655.0</v>
      </c>
      <c r="B515" s="82">
        <v>44655.0</v>
      </c>
      <c r="C515" s="66">
        <v>2367.0</v>
      </c>
      <c r="D515" s="66" t="s">
        <v>203</v>
      </c>
      <c r="E515" s="66">
        <v>0.0</v>
      </c>
      <c r="F515" s="66" t="s">
        <v>205</v>
      </c>
      <c r="G515" s="66">
        <f t="shared" si="10"/>
        <v>0</v>
      </c>
      <c r="H515" s="66">
        <v>0.0</v>
      </c>
      <c r="I515" s="66">
        <v>2.7037</v>
      </c>
      <c r="J515" s="66">
        <v>1.385</v>
      </c>
      <c r="K515" s="81">
        <f t="shared" si="2"/>
        <v>2.7037</v>
      </c>
      <c r="L515" s="81">
        <f t="shared" si="3"/>
        <v>1.385</v>
      </c>
    </row>
    <row r="516">
      <c r="A516" s="82">
        <v>44655.0</v>
      </c>
      <c r="B516" s="82">
        <v>44655.0</v>
      </c>
      <c r="C516" s="66">
        <v>2378.0</v>
      </c>
      <c r="D516" s="66" t="s">
        <v>203</v>
      </c>
      <c r="E516" s="66">
        <v>0.0</v>
      </c>
      <c r="F516" s="66" t="s">
        <v>205</v>
      </c>
      <c r="G516" s="66">
        <f t="shared" si="10"/>
        <v>0</v>
      </c>
      <c r="H516" s="66">
        <v>0.0</v>
      </c>
      <c r="I516" s="66">
        <v>4.9918</v>
      </c>
      <c r="J516" s="66">
        <v>2.6</v>
      </c>
      <c r="K516" s="81">
        <f t="shared" si="2"/>
        <v>4.9918</v>
      </c>
      <c r="L516" s="81">
        <f t="shared" si="3"/>
        <v>2.6</v>
      </c>
    </row>
    <row r="517">
      <c r="A517" s="82">
        <v>44655.0</v>
      </c>
      <c r="B517" s="82">
        <v>44655.0</v>
      </c>
      <c r="C517" s="66">
        <v>2383.0</v>
      </c>
      <c r="D517" s="66" t="s">
        <v>203</v>
      </c>
      <c r="E517" s="66">
        <v>0.0</v>
      </c>
      <c r="F517" s="66" t="s">
        <v>205</v>
      </c>
      <c r="G517" s="66">
        <f t="shared" si="10"/>
        <v>0</v>
      </c>
      <c r="H517" s="66">
        <v>0.0</v>
      </c>
      <c r="I517" s="66">
        <v>5.9707</v>
      </c>
      <c r="J517" s="66">
        <v>3.208</v>
      </c>
      <c r="K517" s="81">
        <f t="shared" si="2"/>
        <v>5.9707</v>
      </c>
      <c r="L517" s="81">
        <f t="shared" si="3"/>
        <v>3.208</v>
      </c>
    </row>
    <row r="518">
      <c r="A518" s="82">
        <v>44655.0</v>
      </c>
      <c r="B518" s="82">
        <v>44655.0</v>
      </c>
      <c r="C518" s="66">
        <v>2370.0</v>
      </c>
      <c r="D518" s="66" t="s">
        <v>203</v>
      </c>
      <c r="E518" s="66">
        <v>0.0</v>
      </c>
      <c r="F518" s="66" t="s">
        <v>205</v>
      </c>
      <c r="G518" s="66">
        <f t="shared" si="10"/>
        <v>0</v>
      </c>
      <c r="H518" s="66">
        <v>0.0</v>
      </c>
      <c r="I518" s="66">
        <v>3.2043</v>
      </c>
      <c r="J518" s="66">
        <v>1.438</v>
      </c>
      <c r="K518" s="81">
        <f t="shared" si="2"/>
        <v>3.2043</v>
      </c>
      <c r="L518" s="81">
        <f t="shared" si="3"/>
        <v>1.438</v>
      </c>
    </row>
    <row r="519">
      <c r="A519" s="82">
        <v>44655.0</v>
      </c>
      <c r="B519" s="82">
        <v>44655.0</v>
      </c>
      <c r="C519" s="66">
        <v>2347.0</v>
      </c>
      <c r="D519" s="66" t="s">
        <v>203</v>
      </c>
      <c r="E519" s="66">
        <v>0.0</v>
      </c>
      <c r="F519" s="66" t="s">
        <v>205</v>
      </c>
      <c r="G519" s="66">
        <f t="shared" si="10"/>
        <v>0</v>
      </c>
      <c r="H519" s="66">
        <v>0.0</v>
      </c>
      <c r="I519" s="66">
        <v>5.2775</v>
      </c>
      <c r="J519" s="66">
        <v>2.469</v>
      </c>
      <c r="K519" s="81">
        <f t="shared" si="2"/>
        <v>5.2775</v>
      </c>
      <c r="L519" s="81">
        <f t="shared" si="3"/>
        <v>2.469</v>
      </c>
    </row>
    <row r="520">
      <c r="A520" s="82">
        <v>44655.0</v>
      </c>
      <c r="B520" s="82">
        <v>44655.0</v>
      </c>
      <c r="C520" s="66">
        <v>2352.0</v>
      </c>
      <c r="D520" s="66" t="s">
        <v>203</v>
      </c>
      <c r="E520" s="66">
        <v>0.0</v>
      </c>
      <c r="F520" s="66" t="s">
        <v>205</v>
      </c>
      <c r="G520" s="66">
        <f t="shared" si="10"/>
        <v>0</v>
      </c>
      <c r="H520" s="66">
        <v>0.0</v>
      </c>
      <c r="I520" s="66">
        <v>0.7679</v>
      </c>
      <c r="J520" s="66">
        <v>0.428</v>
      </c>
      <c r="K520" s="81">
        <f t="shared" si="2"/>
        <v>0.7679</v>
      </c>
      <c r="L520" s="81">
        <f t="shared" si="3"/>
        <v>0.428</v>
      </c>
    </row>
    <row r="521">
      <c r="A521" s="82">
        <v>44655.0</v>
      </c>
      <c r="B521" s="82">
        <v>44655.0</v>
      </c>
      <c r="C521" s="66">
        <v>2360.0</v>
      </c>
      <c r="D521" s="66" t="s">
        <v>203</v>
      </c>
      <c r="E521" s="66">
        <v>0.0</v>
      </c>
      <c r="F521" s="66" t="s">
        <v>205</v>
      </c>
      <c r="G521" s="66">
        <f t="shared" si="10"/>
        <v>0</v>
      </c>
      <c r="H521" s="66">
        <v>0.0</v>
      </c>
      <c r="I521" s="66">
        <v>6.6461</v>
      </c>
      <c r="J521" s="66">
        <v>3.574</v>
      </c>
      <c r="K521" s="81">
        <f t="shared" si="2"/>
        <v>6.6461</v>
      </c>
      <c r="L521" s="81">
        <f t="shared" si="3"/>
        <v>3.574</v>
      </c>
    </row>
    <row r="522">
      <c r="A522" s="82">
        <v>44655.0</v>
      </c>
      <c r="B522" s="82">
        <v>44655.0</v>
      </c>
      <c r="C522" s="66">
        <v>2371.0</v>
      </c>
      <c r="D522" s="66" t="s">
        <v>203</v>
      </c>
      <c r="E522" s="66">
        <v>0.0</v>
      </c>
      <c r="F522" s="66" t="s">
        <v>205</v>
      </c>
      <c r="G522" s="66">
        <f t="shared" si="10"/>
        <v>0</v>
      </c>
      <c r="H522" s="66">
        <v>0.0</v>
      </c>
      <c r="I522" s="66">
        <v>5.3934</v>
      </c>
      <c r="J522" s="66">
        <v>2.118</v>
      </c>
      <c r="K522" s="81">
        <f t="shared" si="2"/>
        <v>5.3934</v>
      </c>
      <c r="L522" s="81">
        <f t="shared" si="3"/>
        <v>2.118</v>
      </c>
    </row>
    <row r="523">
      <c r="A523" s="82">
        <v>44655.0</v>
      </c>
      <c r="B523" s="82">
        <v>44655.0</v>
      </c>
      <c r="C523" s="66">
        <v>2352.0</v>
      </c>
      <c r="D523" s="66" t="s">
        <v>203</v>
      </c>
      <c r="E523" s="66">
        <v>1.0</v>
      </c>
      <c r="F523" s="66" t="s">
        <v>205</v>
      </c>
      <c r="G523" s="66">
        <f t="shared" si="10"/>
        <v>0</v>
      </c>
      <c r="H523" s="66">
        <v>0.0</v>
      </c>
      <c r="I523" s="66">
        <v>3.1857</v>
      </c>
      <c r="J523" s="66">
        <v>2.137</v>
      </c>
      <c r="K523" s="81">
        <f t="shared" si="2"/>
        <v>3.1857</v>
      </c>
      <c r="L523" s="81">
        <f t="shared" si="3"/>
        <v>2.137</v>
      </c>
    </row>
    <row r="524">
      <c r="A524" s="82">
        <v>44655.0</v>
      </c>
      <c r="B524" s="82">
        <v>44655.0</v>
      </c>
      <c r="C524" s="66">
        <v>2377.0</v>
      </c>
      <c r="D524" s="66" t="s">
        <v>203</v>
      </c>
      <c r="E524" s="66">
        <v>1.0</v>
      </c>
      <c r="F524" s="66" t="s">
        <v>205</v>
      </c>
      <c r="G524" s="66">
        <f t="shared" si="10"/>
        <v>0</v>
      </c>
      <c r="H524" s="66">
        <v>0.0</v>
      </c>
      <c r="I524" s="66">
        <v>5.6534</v>
      </c>
      <c r="J524" s="66">
        <v>3.478</v>
      </c>
      <c r="K524" s="81">
        <f t="shared" si="2"/>
        <v>5.6534</v>
      </c>
      <c r="L524" s="81">
        <f t="shared" si="3"/>
        <v>3.478</v>
      </c>
    </row>
    <row r="525">
      <c r="A525" s="82">
        <v>44655.0</v>
      </c>
      <c r="B525" s="82">
        <v>44655.0</v>
      </c>
      <c r="C525" s="66">
        <v>2365.0</v>
      </c>
      <c r="D525" s="66" t="s">
        <v>203</v>
      </c>
      <c r="E525" s="66">
        <v>0.0</v>
      </c>
      <c r="F525" s="66" t="s">
        <v>205</v>
      </c>
      <c r="G525" s="66">
        <f t="shared" si="10"/>
        <v>0</v>
      </c>
      <c r="H525" s="66">
        <v>0.0</v>
      </c>
      <c r="I525" s="66">
        <v>3.4957</v>
      </c>
      <c r="J525" s="66">
        <v>1.755</v>
      </c>
      <c r="K525" s="81">
        <f t="shared" si="2"/>
        <v>3.4957</v>
      </c>
      <c r="L525" s="81">
        <f t="shared" si="3"/>
        <v>1.755</v>
      </c>
    </row>
    <row r="526">
      <c r="A526" s="82">
        <v>44657.0</v>
      </c>
      <c r="B526" s="82">
        <v>44657.0</v>
      </c>
      <c r="C526" s="66">
        <v>2380.0</v>
      </c>
      <c r="D526" s="66" t="s">
        <v>198</v>
      </c>
      <c r="E526" s="66">
        <v>1.0</v>
      </c>
      <c r="F526" s="66" t="s">
        <v>204</v>
      </c>
      <c r="G526" s="66">
        <f t="shared" si="10"/>
        <v>0</v>
      </c>
      <c r="H526" s="66">
        <v>6.289</v>
      </c>
      <c r="I526" s="66">
        <v>7.5314</v>
      </c>
      <c r="J526" s="66">
        <v>7.0645</v>
      </c>
      <c r="K526" s="81">
        <f t="shared" si="2"/>
        <v>1.2424</v>
      </c>
      <c r="L526" s="81">
        <f t="shared" si="3"/>
        <v>0.7755</v>
      </c>
    </row>
    <row r="527">
      <c r="A527" s="82">
        <v>44663.0</v>
      </c>
      <c r="B527" s="82">
        <v>44663.0</v>
      </c>
      <c r="C527" s="66" t="s">
        <v>212</v>
      </c>
      <c r="D527" s="66" t="s">
        <v>198</v>
      </c>
      <c r="E527" s="66">
        <v>0.0</v>
      </c>
      <c r="F527" s="66" t="s">
        <v>204</v>
      </c>
      <c r="G527" s="66">
        <f t="shared" si="10"/>
        <v>0</v>
      </c>
      <c r="H527" s="66">
        <v>7.2978</v>
      </c>
      <c r="I527" s="66">
        <v>8.1611</v>
      </c>
      <c r="J527" s="66">
        <v>10.1817</v>
      </c>
      <c r="K527" s="81">
        <f t="shared" si="2"/>
        <v>0.8633</v>
      </c>
      <c r="L527" s="81">
        <f t="shared" si="3"/>
        <v>2.8839</v>
      </c>
    </row>
    <row r="528">
      <c r="A528" s="82">
        <v>44663.0</v>
      </c>
      <c r="B528" s="82">
        <v>44663.0</v>
      </c>
      <c r="C528" s="66" t="s">
        <v>95</v>
      </c>
      <c r="D528" s="66" t="s">
        <v>198</v>
      </c>
      <c r="E528" s="66">
        <v>0.0</v>
      </c>
      <c r="F528" s="66" t="s">
        <v>205</v>
      </c>
      <c r="G528" s="66">
        <f t="shared" si="10"/>
        <v>0</v>
      </c>
      <c r="H528" s="66">
        <v>7.3702</v>
      </c>
      <c r="I528" s="66">
        <v>14.399</v>
      </c>
      <c r="J528" s="66">
        <v>9.5875</v>
      </c>
      <c r="K528" s="81">
        <f t="shared" si="2"/>
        <v>7.0288</v>
      </c>
      <c r="L528" s="81">
        <f t="shared" si="3"/>
        <v>2.2173</v>
      </c>
    </row>
    <row r="529">
      <c r="A529" s="82">
        <v>44663.0</v>
      </c>
      <c r="B529" s="82">
        <v>44663.0</v>
      </c>
      <c r="C529" s="66" t="s">
        <v>213</v>
      </c>
      <c r="D529" s="66" t="s">
        <v>198</v>
      </c>
      <c r="E529" s="66">
        <v>0.0</v>
      </c>
      <c r="F529" s="66" t="s">
        <v>204</v>
      </c>
      <c r="G529" s="66">
        <f t="shared" si="10"/>
        <v>0</v>
      </c>
      <c r="H529" s="66">
        <v>6.2531</v>
      </c>
      <c r="I529" s="66">
        <v>10.6295</v>
      </c>
      <c r="J529" s="66">
        <v>7.8488</v>
      </c>
      <c r="K529" s="81">
        <f t="shared" si="2"/>
        <v>4.3764</v>
      </c>
      <c r="L529" s="81">
        <f t="shared" si="3"/>
        <v>1.5957</v>
      </c>
    </row>
    <row r="530">
      <c r="A530" s="82">
        <v>44663.0</v>
      </c>
      <c r="B530" s="82">
        <v>44663.0</v>
      </c>
      <c r="C530" s="66" t="s">
        <v>213</v>
      </c>
      <c r="D530" s="66" t="s">
        <v>198</v>
      </c>
      <c r="E530" s="66">
        <v>0.0</v>
      </c>
      <c r="F530" s="66" t="s">
        <v>204</v>
      </c>
      <c r="G530" s="66">
        <f t="shared" si="10"/>
        <v>0</v>
      </c>
      <c r="H530" s="66">
        <v>7.346</v>
      </c>
      <c r="I530" s="66">
        <v>11.1595</v>
      </c>
      <c r="J530" s="66">
        <v>8.1661</v>
      </c>
      <c r="K530" s="81">
        <f t="shared" si="2"/>
        <v>3.8135</v>
      </c>
      <c r="L530" s="81">
        <f t="shared" si="3"/>
        <v>0.8201</v>
      </c>
    </row>
    <row r="531">
      <c r="A531" s="82">
        <v>44663.0</v>
      </c>
      <c r="B531" s="82">
        <v>44663.0</v>
      </c>
      <c r="C531" s="66" t="s">
        <v>212</v>
      </c>
      <c r="D531" s="66" t="s">
        <v>198</v>
      </c>
      <c r="E531" s="66">
        <v>0.0</v>
      </c>
      <c r="F531" s="66" t="s">
        <v>204</v>
      </c>
      <c r="G531" s="66">
        <f t="shared" si="10"/>
        <v>0</v>
      </c>
      <c r="H531" s="66">
        <v>7.2389</v>
      </c>
      <c r="I531" s="66">
        <v>10.4592</v>
      </c>
      <c r="J531" s="66">
        <v>8.2623</v>
      </c>
      <c r="K531" s="81">
        <f t="shared" si="2"/>
        <v>3.2203</v>
      </c>
      <c r="L531" s="81">
        <f t="shared" si="3"/>
        <v>1.0234</v>
      </c>
    </row>
    <row r="532">
      <c r="A532" s="82">
        <v>44663.0</v>
      </c>
      <c r="B532" s="82">
        <v>44663.0</v>
      </c>
      <c r="C532" s="66">
        <v>2006.0</v>
      </c>
      <c r="D532" s="66" t="s">
        <v>198</v>
      </c>
      <c r="E532" s="66">
        <v>0.0</v>
      </c>
      <c r="F532" s="66" t="s">
        <v>205</v>
      </c>
      <c r="G532" s="66">
        <f t="shared" si="10"/>
        <v>0</v>
      </c>
      <c r="H532" s="66">
        <v>7.3939</v>
      </c>
      <c r="I532" s="66">
        <v>12.2825</v>
      </c>
      <c r="J532" s="66">
        <v>9.8223</v>
      </c>
      <c r="K532" s="81">
        <f t="shared" si="2"/>
        <v>4.8886</v>
      </c>
      <c r="L532" s="81">
        <f t="shared" si="3"/>
        <v>2.4284</v>
      </c>
    </row>
    <row r="533">
      <c r="A533" s="82">
        <v>44663.0</v>
      </c>
      <c r="B533" s="82">
        <v>44663.0</v>
      </c>
      <c r="C533" s="66">
        <v>2006.0</v>
      </c>
      <c r="D533" s="66" t="s">
        <v>198</v>
      </c>
      <c r="E533" s="66">
        <v>0.0</v>
      </c>
      <c r="F533" s="66" t="s">
        <v>204</v>
      </c>
      <c r="G533" s="66">
        <f t="shared" si="10"/>
        <v>0</v>
      </c>
      <c r="H533" s="66">
        <v>7.3206</v>
      </c>
      <c r="I533" s="66">
        <v>7.9009</v>
      </c>
      <c r="J533" s="66">
        <v>7.5876</v>
      </c>
      <c r="K533" s="81">
        <f t="shared" si="2"/>
        <v>0.5803</v>
      </c>
      <c r="L533" s="81">
        <f t="shared" si="3"/>
        <v>0.267</v>
      </c>
    </row>
    <row r="534">
      <c r="A534" s="82">
        <v>44663.0</v>
      </c>
      <c r="B534" s="82">
        <v>44663.0</v>
      </c>
      <c r="C534" s="66">
        <v>2004.0</v>
      </c>
      <c r="D534" s="66" t="s">
        <v>198</v>
      </c>
      <c r="E534" s="66">
        <v>0.0</v>
      </c>
      <c r="F534" s="66" t="s">
        <v>204</v>
      </c>
      <c r="G534" s="66">
        <f t="shared" si="10"/>
        <v>0</v>
      </c>
      <c r="H534" s="66">
        <v>6.2656</v>
      </c>
      <c r="I534" s="66">
        <v>7.1291</v>
      </c>
      <c r="J534" s="66">
        <v>6.6593</v>
      </c>
      <c r="K534" s="81">
        <f t="shared" si="2"/>
        <v>0.8635</v>
      </c>
      <c r="L534" s="81">
        <f t="shared" si="3"/>
        <v>0.3937</v>
      </c>
    </row>
    <row r="535">
      <c r="A535" s="82">
        <v>44663.0</v>
      </c>
      <c r="B535" s="82">
        <v>44663.0</v>
      </c>
      <c r="C535" s="66" t="s">
        <v>95</v>
      </c>
      <c r="D535" s="66" t="s">
        <v>198</v>
      </c>
      <c r="E535" s="66">
        <v>0.0</v>
      </c>
      <c r="F535" s="66" t="s">
        <v>205</v>
      </c>
      <c r="G535" s="66">
        <f t="shared" si="10"/>
        <v>0</v>
      </c>
      <c r="H535" s="66">
        <v>7.2405</v>
      </c>
      <c r="I535" s="66">
        <v>17.7103</v>
      </c>
      <c r="J535" s="66">
        <v>10.2771</v>
      </c>
      <c r="K535" s="81">
        <f t="shared" si="2"/>
        <v>10.4698</v>
      </c>
      <c r="L535" s="81">
        <f t="shared" si="3"/>
        <v>3.0366</v>
      </c>
    </row>
    <row r="536">
      <c r="A536" s="82">
        <v>44663.0</v>
      </c>
      <c r="B536" s="82">
        <v>44663.0</v>
      </c>
      <c r="C536" s="66" t="s">
        <v>212</v>
      </c>
      <c r="D536" s="66" t="s">
        <v>198</v>
      </c>
      <c r="E536" s="66">
        <v>0.0</v>
      </c>
      <c r="F536" s="66" t="s">
        <v>205</v>
      </c>
      <c r="G536" s="66">
        <f t="shared" si="10"/>
        <v>0</v>
      </c>
      <c r="H536" s="66">
        <v>67.7681</v>
      </c>
      <c r="I536" s="66">
        <v>77.4162</v>
      </c>
      <c r="J536" s="66">
        <v>70.9566</v>
      </c>
      <c r="K536" s="81">
        <f t="shared" si="2"/>
        <v>9.6481</v>
      </c>
      <c r="L536" s="81">
        <f t="shared" si="3"/>
        <v>3.1885</v>
      </c>
    </row>
    <row r="537">
      <c r="A537" s="82">
        <v>44663.0</v>
      </c>
      <c r="B537" s="82">
        <v>44663.0</v>
      </c>
      <c r="C537" s="66" t="s">
        <v>212</v>
      </c>
      <c r="D537" s="66" t="s">
        <v>198</v>
      </c>
      <c r="E537" s="66">
        <v>0.0</v>
      </c>
      <c r="F537" s="66" t="s">
        <v>205</v>
      </c>
      <c r="G537" s="66">
        <f t="shared" si="10"/>
        <v>0</v>
      </c>
      <c r="H537" s="66">
        <v>68.8806</v>
      </c>
      <c r="I537" s="66">
        <v>79.3931</v>
      </c>
      <c r="J537" s="66">
        <v>72.4985</v>
      </c>
      <c r="K537" s="81">
        <f t="shared" si="2"/>
        <v>10.5125</v>
      </c>
      <c r="L537" s="81">
        <f t="shared" si="3"/>
        <v>3.6179</v>
      </c>
    </row>
    <row r="538">
      <c r="A538" s="82">
        <v>44663.0</v>
      </c>
      <c r="B538" s="82">
        <v>44663.0</v>
      </c>
      <c r="C538" s="66" t="s">
        <v>95</v>
      </c>
      <c r="D538" s="66" t="s">
        <v>198</v>
      </c>
      <c r="E538" s="66">
        <v>0.0</v>
      </c>
      <c r="F538" s="66" t="s">
        <v>204</v>
      </c>
      <c r="G538" s="66">
        <f t="shared" si="10"/>
        <v>0</v>
      </c>
      <c r="H538" s="66">
        <v>67.3617</v>
      </c>
      <c r="I538" s="66">
        <v>69.9829</v>
      </c>
      <c r="J538" s="66">
        <v>68.1918</v>
      </c>
      <c r="K538" s="81">
        <f t="shared" si="2"/>
        <v>2.6212</v>
      </c>
      <c r="L538" s="81">
        <f t="shared" si="3"/>
        <v>0.8301</v>
      </c>
    </row>
    <row r="539">
      <c r="A539" s="82">
        <v>44663.0</v>
      </c>
      <c r="B539" s="82">
        <v>44663.0</v>
      </c>
      <c r="C539" s="66" t="s">
        <v>213</v>
      </c>
      <c r="D539" s="66" t="s">
        <v>198</v>
      </c>
      <c r="E539" s="66">
        <v>0.0</v>
      </c>
      <c r="F539" s="66" t="s">
        <v>205</v>
      </c>
      <c r="G539" s="66">
        <f t="shared" si="10"/>
        <v>0</v>
      </c>
      <c r="H539" s="66">
        <v>68.2592</v>
      </c>
      <c r="I539" s="66">
        <v>86.0425</v>
      </c>
      <c r="J539" s="66">
        <v>72.48</v>
      </c>
      <c r="K539" s="81">
        <f t="shared" si="2"/>
        <v>17.7833</v>
      </c>
      <c r="L539" s="81">
        <f t="shared" si="3"/>
        <v>4.2208</v>
      </c>
    </row>
    <row r="540">
      <c r="A540" s="82">
        <v>44663.0</v>
      </c>
      <c r="B540" s="82">
        <v>44663.0</v>
      </c>
      <c r="C540" s="66" t="s">
        <v>95</v>
      </c>
      <c r="D540" s="66" t="s">
        <v>198</v>
      </c>
      <c r="E540" s="66">
        <v>0.0</v>
      </c>
      <c r="F540" s="66" t="s">
        <v>204</v>
      </c>
      <c r="G540" s="66">
        <f t="shared" si="10"/>
        <v>0</v>
      </c>
      <c r="H540" s="66">
        <v>67.7817</v>
      </c>
      <c r="I540" s="66">
        <v>70.4158</v>
      </c>
      <c r="J540" s="66">
        <v>68.4698</v>
      </c>
      <c r="K540" s="81">
        <f t="shared" si="2"/>
        <v>2.6341</v>
      </c>
      <c r="L540" s="81">
        <f t="shared" si="3"/>
        <v>0.6881</v>
      </c>
    </row>
    <row r="541">
      <c r="A541" s="82">
        <v>44663.0</v>
      </c>
      <c r="B541" s="82">
        <v>44663.0</v>
      </c>
      <c r="C541" s="66" t="s">
        <v>213</v>
      </c>
      <c r="D541" s="66" t="s">
        <v>198</v>
      </c>
      <c r="E541" s="66">
        <v>0.0</v>
      </c>
      <c r="F541" s="66" t="s">
        <v>205</v>
      </c>
      <c r="G541" s="66">
        <f t="shared" si="10"/>
        <v>0</v>
      </c>
      <c r="H541" s="66">
        <v>68.5466</v>
      </c>
      <c r="I541" s="66">
        <v>86.9675</v>
      </c>
      <c r="J541" s="66">
        <v>73.2688</v>
      </c>
      <c r="K541" s="81">
        <f t="shared" si="2"/>
        <v>18.4209</v>
      </c>
      <c r="L541" s="81">
        <f t="shared" si="3"/>
        <v>4.7222</v>
      </c>
    </row>
    <row r="542">
      <c r="A542" s="82">
        <v>44663.0</v>
      </c>
      <c r="B542" s="82">
        <v>44663.0</v>
      </c>
      <c r="C542" s="66" t="s">
        <v>213</v>
      </c>
      <c r="D542" s="66" t="s">
        <v>198</v>
      </c>
      <c r="E542" s="66">
        <v>0.0</v>
      </c>
      <c r="F542" s="66" t="s">
        <v>205</v>
      </c>
      <c r="G542" s="66">
        <f t="shared" si="10"/>
        <v>0</v>
      </c>
      <c r="H542" s="66">
        <v>67.5225</v>
      </c>
      <c r="I542" s="66">
        <v>76.5282</v>
      </c>
      <c r="J542" s="66">
        <v>69.8575</v>
      </c>
      <c r="K542" s="81">
        <f t="shared" si="2"/>
        <v>9.0057</v>
      </c>
      <c r="L542" s="81">
        <f t="shared" si="3"/>
        <v>2.335</v>
      </c>
    </row>
    <row r="543">
      <c r="A543" s="82">
        <v>44663.0</v>
      </c>
      <c r="B543" s="82">
        <v>44663.0</v>
      </c>
      <c r="C543" s="66" t="s">
        <v>95</v>
      </c>
      <c r="D543" s="66" t="s">
        <v>198</v>
      </c>
      <c r="E543" s="66">
        <v>0.0</v>
      </c>
      <c r="F543" s="66" t="s">
        <v>205</v>
      </c>
      <c r="G543" s="66">
        <f t="shared" si="10"/>
        <v>0</v>
      </c>
      <c r="H543" s="66">
        <v>67.6232</v>
      </c>
      <c r="I543" s="66">
        <v>78.0799</v>
      </c>
      <c r="J543" s="66">
        <v>71.5012</v>
      </c>
      <c r="K543" s="81">
        <f t="shared" si="2"/>
        <v>10.4567</v>
      </c>
      <c r="L543" s="81">
        <f t="shared" si="3"/>
        <v>3.878</v>
      </c>
    </row>
    <row r="544">
      <c r="A544" s="82">
        <v>44663.0</v>
      </c>
      <c r="B544" s="82">
        <v>44663.0</v>
      </c>
      <c r="C544" s="66" t="s">
        <v>95</v>
      </c>
      <c r="D544" s="66" t="s">
        <v>198</v>
      </c>
      <c r="E544" s="66">
        <v>0.0</v>
      </c>
      <c r="F544" s="66" t="s">
        <v>204</v>
      </c>
      <c r="G544" s="66">
        <f t="shared" si="10"/>
        <v>0</v>
      </c>
      <c r="H544" s="66">
        <v>68.058</v>
      </c>
      <c r="I544" s="66">
        <v>71.711</v>
      </c>
      <c r="J544" s="66">
        <v>69.2604</v>
      </c>
      <c r="K544" s="81">
        <f t="shared" si="2"/>
        <v>3.653</v>
      </c>
      <c r="L544" s="81">
        <f t="shared" si="3"/>
        <v>1.2024</v>
      </c>
    </row>
    <row r="545">
      <c r="A545" s="82">
        <v>44663.0</v>
      </c>
      <c r="B545" s="82">
        <v>44663.0</v>
      </c>
      <c r="C545" s="66" t="s">
        <v>213</v>
      </c>
      <c r="D545" s="66" t="s">
        <v>198</v>
      </c>
      <c r="E545" s="66">
        <v>0.0</v>
      </c>
      <c r="F545" s="66" t="s">
        <v>204</v>
      </c>
      <c r="G545" s="66">
        <f t="shared" si="10"/>
        <v>0</v>
      </c>
      <c r="H545" s="66">
        <v>7.3636</v>
      </c>
      <c r="I545" s="66">
        <v>13.3891</v>
      </c>
      <c r="J545" s="66">
        <v>8.0433</v>
      </c>
      <c r="K545" s="81">
        <f t="shared" si="2"/>
        <v>6.0255</v>
      </c>
      <c r="L545" s="81">
        <f t="shared" si="3"/>
        <v>0.6797</v>
      </c>
    </row>
    <row r="546">
      <c r="A546" s="82">
        <v>44663.0</v>
      </c>
      <c r="B546" s="82">
        <v>44663.0</v>
      </c>
      <c r="C546" s="66">
        <v>2004.0</v>
      </c>
      <c r="D546" s="66" t="s">
        <v>198</v>
      </c>
      <c r="E546" s="66">
        <v>0.0</v>
      </c>
      <c r="F546" s="66" t="s">
        <v>205</v>
      </c>
      <c r="G546" s="66">
        <f t="shared" si="10"/>
        <v>0</v>
      </c>
      <c r="H546" s="66">
        <v>7.3155</v>
      </c>
      <c r="I546" s="66">
        <v>11.346</v>
      </c>
      <c r="J546" s="66">
        <v>9.3364</v>
      </c>
      <c r="K546" s="81">
        <f t="shared" si="2"/>
        <v>4.0305</v>
      </c>
      <c r="L546" s="81">
        <f t="shared" si="3"/>
        <v>2.0209</v>
      </c>
    </row>
    <row r="547">
      <c r="A547" s="82">
        <v>44670.0</v>
      </c>
      <c r="B547" s="82">
        <v>44670.0</v>
      </c>
      <c r="C547" s="66" t="s">
        <v>213</v>
      </c>
      <c r="D547" s="66" t="s">
        <v>198</v>
      </c>
      <c r="E547" s="66">
        <v>0.0</v>
      </c>
      <c r="F547" s="66" t="s">
        <v>205</v>
      </c>
      <c r="G547" s="66">
        <v>0.0</v>
      </c>
      <c r="H547" s="66">
        <v>66.9646</v>
      </c>
      <c r="I547" s="66">
        <v>76.6037</v>
      </c>
      <c r="J547" s="66">
        <v>69.0606</v>
      </c>
      <c r="K547" s="81">
        <f t="shared" si="2"/>
        <v>9.6391</v>
      </c>
      <c r="L547" s="81">
        <f t="shared" si="3"/>
        <v>2.096</v>
      </c>
    </row>
    <row r="548">
      <c r="A548" s="82">
        <v>44670.0</v>
      </c>
      <c r="B548" s="82">
        <v>44670.0</v>
      </c>
      <c r="C548" s="66" t="s">
        <v>212</v>
      </c>
      <c r="D548" s="66" t="s">
        <v>198</v>
      </c>
      <c r="E548" s="66">
        <v>0.0</v>
      </c>
      <c r="F548" s="66" t="s">
        <v>204</v>
      </c>
      <c r="G548" s="66">
        <v>0.0</v>
      </c>
      <c r="H548" s="66">
        <v>68.1925</v>
      </c>
      <c r="I548" s="66">
        <v>70.0782</v>
      </c>
      <c r="J548" s="66">
        <v>68.7375</v>
      </c>
      <c r="K548" s="81">
        <f t="shared" si="2"/>
        <v>1.8857</v>
      </c>
      <c r="L548" s="81">
        <f t="shared" si="3"/>
        <v>0.545</v>
      </c>
    </row>
    <row r="549">
      <c r="A549" s="82">
        <v>44670.0</v>
      </c>
      <c r="B549" s="82">
        <v>44670.0</v>
      </c>
      <c r="C549" s="66" t="s">
        <v>213</v>
      </c>
      <c r="D549" s="66" t="s">
        <v>198</v>
      </c>
      <c r="E549" s="66">
        <v>0.0</v>
      </c>
      <c r="F549" s="66" t="s">
        <v>205</v>
      </c>
      <c r="G549" s="66">
        <f t="shared" ref="G549:G992" si="11">if(E549="old",1,0)</f>
        <v>0</v>
      </c>
      <c r="H549" s="66">
        <v>68.2741</v>
      </c>
      <c r="I549" s="66">
        <v>79.6848</v>
      </c>
      <c r="J549" s="66">
        <v>70.9194</v>
      </c>
      <c r="K549" s="81">
        <f t="shared" si="2"/>
        <v>11.4107</v>
      </c>
      <c r="L549" s="81">
        <f t="shared" si="3"/>
        <v>2.6453</v>
      </c>
    </row>
    <row r="550">
      <c r="A550" s="82">
        <v>44670.0</v>
      </c>
      <c r="B550" s="82">
        <v>44670.0</v>
      </c>
      <c r="C550" s="66" t="s">
        <v>213</v>
      </c>
      <c r="D550" s="66" t="s">
        <v>198</v>
      </c>
      <c r="E550" s="66">
        <v>0.0</v>
      </c>
      <c r="F550" s="66" t="s">
        <v>205</v>
      </c>
      <c r="G550" s="66">
        <f t="shared" si="11"/>
        <v>0</v>
      </c>
      <c r="H550" s="66">
        <v>66.9096</v>
      </c>
      <c r="I550" s="66">
        <v>75.7523</v>
      </c>
      <c r="J550" s="66">
        <v>69.3282</v>
      </c>
      <c r="K550" s="81">
        <f t="shared" si="2"/>
        <v>8.8427</v>
      </c>
      <c r="L550" s="81">
        <f t="shared" si="3"/>
        <v>2.4186</v>
      </c>
    </row>
    <row r="551">
      <c r="A551" s="82">
        <v>44670.0</v>
      </c>
      <c r="B551" s="82">
        <v>44670.0</v>
      </c>
      <c r="C551" s="66" t="s">
        <v>212</v>
      </c>
      <c r="D551" s="66" t="s">
        <v>198</v>
      </c>
      <c r="E551" s="66">
        <v>0.0</v>
      </c>
      <c r="F551" s="66" t="s">
        <v>204</v>
      </c>
      <c r="G551" s="66">
        <f t="shared" si="11"/>
        <v>0</v>
      </c>
      <c r="H551" s="66">
        <v>68.9142</v>
      </c>
      <c r="I551" s="66">
        <v>70.5592</v>
      </c>
      <c r="J551" s="66">
        <v>69.4249</v>
      </c>
      <c r="K551" s="81">
        <f t="shared" si="2"/>
        <v>1.645</v>
      </c>
      <c r="L551" s="81">
        <f t="shared" si="3"/>
        <v>0.5107</v>
      </c>
    </row>
    <row r="552">
      <c r="A552" s="82">
        <v>44670.0</v>
      </c>
      <c r="B552" s="82">
        <v>44670.0</v>
      </c>
      <c r="C552" s="66" t="s">
        <v>95</v>
      </c>
      <c r="D552" s="66" t="s">
        <v>198</v>
      </c>
      <c r="E552" s="66">
        <v>0.0</v>
      </c>
      <c r="F552" s="66" t="s">
        <v>204</v>
      </c>
      <c r="G552" s="66">
        <f t="shared" si="11"/>
        <v>0</v>
      </c>
      <c r="H552" s="66">
        <v>68.2418</v>
      </c>
      <c r="I552" s="66">
        <v>69.9277</v>
      </c>
      <c r="J552" s="66">
        <v>68.6341</v>
      </c>
      <c r="K552" s="81">
        <f t="shared" si="2"/>
        <v>1.6859</v>
      </c>
      <c r="L552" s="81">
        <f t="shared" si="3"/>
        <v>0.3923</v>
      </c>
    </row>
    <row r="553">
      <c r="A553" s="82">
        <v>44670.0</v>
      </c>
      <c r="B553" s="82">
        <v>44670.0</v>
      </c>
      <c r="C553" s="66" t="s">
        <v>95</v>
      </c>
      <c r="D553" s="66" t="s">
        <v>198</v>
      </c>
      <c r="E553" s="66">
        <v>0.0</v>
      </c>
      <c r="F553" s="66" t="s">
        <v>204</v>
      </c>
      <c r="G553" s="66">
        <f t="shared" si="11"/>
        <v>0</v>
      </c>
      <c r="H553" s="66">
        <v>67.9189</v>
      </c>
      <c r="I553" s="66">
        <v>71.3288</v>
      </c>
      <c r="J553" s="66">
        <v>69.0297</v>
      </c>
      <c r="K553" s="81">
        <f t="shared" si="2"/>
        <v>3.4099</v>
      </c>
      <c r="L553" s="81">
        <f t="shared" si="3"/>
        <v>1.1108</v>
      </c>
    </row>
    <row r="554">
      <c r="A554" s="82">
        <v>44670.0</v>
      </c>
      <c r="B554" s="82">
        <v>44670.0</v>
      </c>
      <c r="C554" s="66" t="s">
        <v>95</v>
      </c>
      <c r="D554" s="66" t="s">
        <v>198</v>
      </c>
      <c r="E554" s="66">
        <v>0.0</v>
      </c>
      <c r="F554" s="66" t="s">
        <v>204</v>
      </c>
      <c r="G554" s="66">
        <f t="shared" si="11"/>
        <v>0</v>
      </c>
      <c r="H554" s="66">
        <v>67.415</v>
      </c>
      <c r="I554" s="66">
        <v>69.2581</v>
      </c>
      <c r="J554" s="66">
        <v>68.0469</v>
      </c>
      <c r="K554" s="81">
        <f t="shared" si="2"/>
        <v>1.8431</v>
      </c>
      <c r="L554" s="81">
        <f t="shared" si="3"/>
        <v>0.6319</v>
      </c>
    </row>
    <row r="555">
      <c r="A555" s="82">
        <v>44670.0</v>
      </c>
      <c r="B555" s="82">
        <v>44670.0</v>
      </c>
      <c r="C555" s="66" t="s">
        <v>95</v>
      </c>
      <c r="D555" s="66" t="s">
        <v>198</v>
      </c>
      <c r="E555" s="66">
        <v>0.0</v>
      </c>
      <c r="F555" s="66" t="s">
        <v>205</v>
      </c>
      <c r="G555" s="66">
        <f t="shared" si="11"/>
        <v>0</v>
      </c>
      <c r="H555" s="66">
        <v>7.3626</v>
      </c>
      <c r="I555" s="66">
        <v>11.3179</v>
      </c>
      <c r="J555" s="66">
        <v>8.6608</v>
      </c>
      <c r="K555" s="81">
        <f t="shared" si="2"/>
        <v>3.9553</v>
      </c>
      <c r="L555" s="81">
        <f t="shared" si="3"/>
        <v>1.2982</v>
      </c>
    </row>
    <row r="556">
      <c r="A556" s="82">
        <v>44670.0</v>
      </c>
      <c r="B556" s="82">
        <v>44670.0</v>
      </c>
      <c r="C556" s="66" t="s">
        <v>95</v>
      </c>
      <c r="D556" s="66" t="s">
        <v>198</v>
      </c>
      <c r="E556" s="66">
        <v>0.0</v>
      </c>
      <c r="F556" s="66" t="s">
        <v>205</v>
      </c>
      <c r="G556" s="66">
        <f t="shared" si="11"/>
        <v>0</v>
      </c>
      <c r="H556" s="66">
        <v>7.3451</v>
      </c>
      <c r="I556" s="66">
        <v>13.1844</v>
      </c>
      <c r="J556" s="66">
        <v>9.5416</v>
      </c>
      <c r="K556" s="81">
        <f t="shared" si="2"/>
        <v>5.8393</v>
      </c>
      <c r="L556" s="81">
        <f t="shared" si="3"/>
        <v>2.1965</v>
      </c>
    </row>
    <row r="557">
      <c r="A557" s="82">
        <v>44670.0</v>
      </c>
      <c r="B557" s="82">
        <v>44670.0</v>
      </c>
      <c r="C557" s="66" t="s">
        <v>213</v>
      </c>
      <c r="D557" s="66" t="s">
        <v>198</v>
      </c>
      <c r="E557" s="66">
        <v>0.0</v>
      </c>
      <c r="F557" s="66" t="s">
        <v>204</v>
      </c>
      <c r="G557" s="66">
        <f t="shared" si="11"/>
        <v>0</v>
      </c>
      <c r="H557" s="66">
        <v>7.3358</v>
      </c>
      <c r="I557" s="66">
        <v>9.1977</v>
      </c>
      <c r="J557" s="66">
        <v>7.7833</v>
      </c>
      <c r="K557" s="81">
        <f t="shared" si="2"/>
        <v>1.8619</v>
      </c>
      <c r="L557" s="81">
        <f t="shared" si="3"/>
        <v>0.4475</v>
      </c>
    </row>
    <row r="558">
      <c r="A558" s="82">
        <v>44670.0</v>
      </c>
      <c r="B558" s="82">
        <v>44670.0</v>
      </c>
      <c r="C558" s="66" t="s">
        <v>212</v>
      </c>
      <c r="D558" s="66" t="s">
        <v>198</v>
      </c>
      <c r="E558" s="66">
        <v>0.0</v>
      </c>
      <c r="F558" s="66" t="s">
        <v>205</v>
      </c>
      <c r="G558" s="66">
        <f t="shared" si="11"/>
        <v>0</v>
      </c>
      <c r="H558" s="66">
        <v>6.3177</v>
      </c>
      <c r="I558" s="66">
        <v>10.0126</v>
      </c>
      <c r="J558" s="66">
        <v>7.5886</v>
      </c>
      <c r="K558" s="81">
        <f t="shared" si="2"/>
        <v>3.6949</v>
      </c>
      <c r="L558" s="81">
        <f t="shared" si="3"/>
        <v>1.2709</v>
      </c>
    </row>
    <row r="559">
      <c r="A559" s="82">
        <v>44670.0</v>
      </c>
      <c r="B559" s="82">
        <v>44670.0</v>
      </c>
      <c r="C559" s="66" t="s">
        <v>213</v>
      </c>
      <c r="D559" s="66" t="s">
        <v>198</v>
      </c>
      <c r="E559" s="66">
        <v>0.0</v>
      </c>
      <c r="F559" s="66" t="s">
        <v>204</v>
      </c>
      <c r="G559" s="66">
        <f t="shared" si="11"/>
        <v>0</v>
      </c>
      <c r="H559" s="66">
        <v>6.3778</v>
      </c>
      <c r="I559" s="66">
        <v>9.3232</v>
      </c>
      <c r="J559" s="66">
        <v>6.988</v>
      </c>
      <c r="K559" s="81">
        <f t="shared" si="2"/>
        <v>2.9454</v>
      </c>
      <c r="L559" s="81">
        <f t="shared" si="3"/>
        <v>0.6102</v>
      </c>
    </row>
    <row r="560">
      <c r="A560" s="82">
        <v>44670.0</v>
      </c>
      <c r="B560" s="82">
        <v>44670.0</v>
      </c>
      <c r="C560" s="66" t="s">
        <v>212</v>
      </c>
      <c r="D560" s="66" t="s">
        <v>198</v>
      </c>
      <c r="E560" s="66">
        <v>0.0</v>
      </c>
      <c r="F560" s="66" t="s">
        <v>205</v>
      </c>
      <c r="G560" s="66">
        <f t="shared" si="11"/>
        <v>0</v>
      </c>
      <c r="H560" s="66">
        <v>7.3395</v>
      </c>
      <c r="I560" s="66">
        <v>12.4942</v>
      </c>
      <c r="J560" s="66">
        <v>9.2369</v>
      </c>
      <c r="K560" s="81">
        <f t="shared" si="2"/>
        <v>5.1547</v>
      </c>
      <c r="L560" s="81">
        <f t="shared" si="3"/>
        <v>1.8974</v>
      </c>
    </row>
    <row r="561">
      <c r="A561" s="82">
        <v>44670.0</v>
      </c>
      <c r="B561" s="82">
        <v>44670.0</v>
      </c>
      <c r="C561" s="66" t="s">
        <v>213</v>
      </c>
      <c r="D561" s="66" t="s">
        <v>198</v>
      </c>
      <c r="E561" s="66">
        <v>0.0</v>
      </c>
      <c r="F561" s="66" t="s">
        <v>204</v>
      </c>
      <c r="G561" s="66">
        <f t="shared" si="11"/>
        <v>0</v>
      </c>
      <c r="H561" s="66">
        <v>7.2516</v>
      </c>
      <c r="I561" s="66">
        <v>10.6925</v>
      </c>
      <c r="J561" s="66">
        <v>7.8016</v>
      </c>
      <c r="K561" s="81">
        <f t="shared" si="2"/>
        <v>3.4409</v>
      </c>
      <c r="L561" s="81">
        <f t="shared" si="3"/>
        <v>0.55</v>
      </c>
      <c r="N561" s="66" t="s">
        <v>210</v>
      </c>
    </row>
    <row r="562">
      <c r="A562" s="82">
        <v>44670.0</v>
      </c>
      <c r="B562" s="82">
        <v>44670.0</v>
      </c>
      <c r="C562" s="66" t="s">
        <v>95</v>
      </c>
      <c r="D562" s="66" t="s">
        <v>198</v>
      </c>
      <c r="E562" s="66">
        <v>0.0</v>
      </c>
      <c r="F562" s="66" t="s">
        <v>205</v>
      </c>
      <c r="G562" s="66">
        <f t="shared" si="11"/>
        <v>0</v>
      </c>
      <c r="H562" s="66">
        <v>7.3401</v>
      </c>
      <c r="I562" s="66">
        <v>13.0978</v>
      </c>
      <c r="J562" s="66">
        <v>9.3995</v>
      </c>
      <c r="K562" s="81">
        <f t="shared" si="2"/>
        <v>5.7577</v>
      </c>
      <c r="L562" s="81">
        <f t="shared" si="3"/>
        <v>2.0594</v>
      </c>
    </row>
    <row r="563">
      <c r="A563" s="82">
        <v>44676.0</v>
      </c>
      <c r="B563" s="82">
        <v>44676.0</v>
      </c>
      <c r="C563" s="66">
        <v>2377.0</v>
      </c>
      <c r="D563" s="66" t="s">
        <v>203</v>
      </c>
      <c r="E563" s="66">
        <v>0.0</v>
      </c>
      <c r="F563" s="66" t="s">
        <v>205</v>
      </c>
      <c r="G563" s="66">
        <f t="shared" si="11"/>
        <v>0</v>
      </c>
      <c r="H563" s="66">
        <v>25.518</v>
      </c>
      <c r="I563" s="66">
        <v>27.364</v>
      </c>
      <c r="J563" s="66">
        <v>26.6624</v>
      </c>
      <c r="K563" s="81">
        <f t="shared" si="2"/>
        <v>1.846</v>
      </c>
      <c r="L563" s="81">
        <f t="shared" si="3"/>
        <v>1.1444</v>
      </c>
    </row>
    <row r="564">
      <c r="A564" s="82">
        <v>44676.0</v>
      </c>
      <c r="B564" s="82">
        <v>44676.0</v>
      </c>
      <c r="C564" s="66">
        <v>2346.0</v>
      </c>
      <c r="D564" s="66" t="s">
        <v>203</v>
      </c>
      <c r="E564" s="66">
        <v>0.0</v>
      </c>
      <c r="F564" s="66" t="s">
        <v>204</v>
      </c>
      <c r="G564" s="66">
        <f t="shared" si="11"/>
        <v>0</v>
      </c>
      <c r="H564" s="66">
        <v>26.47</v>
      </c>
      <c r="I564" s="66">
        <v>26.763</v>
      </c>
      <c r="J564" s="66">
        <v>26.6227</v>
      </c>
      <c r="K564" s="81">
        <f t="shared" si="2"/>
        <v>0.293</v>
      </c>
      <c r="L564" s="81">
        <f t="shared" si="3"/>
        <v>0.1527</v>
      </c>
    </row>
    <row r="565">
      <c r="A565" s="82">
        <v>44676.0</v>
      </c>
      <c r="B565" s="82">
        <v>44676.0</v>
      </c>
      <c r="C565" s="66">
        <v>2011.0</v>
      </c>
      <c r="D565" s="66" t="s">
        <v>198</v>
      </c>
      <c r="E565" s="66">
        <v>0.0</v>
      </c>
      <c r="F565" s="66" t="s">
        <v>205</v>
      </c>
      <c r="G565" s="66">
        <f t="shared" si="11"/>
        <v>0</v>
      </c>
      <c r="H565" s="66">
        <v>26.166</v>
      </c>
      <c r="I565" s="66">
        <v>28.8272</v>
      </c>
      <c r="J565" s="66">
        <v>27.54</v>
      </c>
      <c r="K565" s="81">
        <f t="shared" si="2"/>
        <v>2.6612</v>
      </c>
      <c r="L565" s="81">
        <f t="shared" si="3"/>
        <v>1.374</v>
      </c>
    </row>
    <row r="566">
      <c r="A566" s="82">
        <v>44676.0</v>
      </c>
      <c r="B566" s="82">
        <v>44676.0</v>
      </c>
      <c r="C566" s="66">
        <v>2331.0</v>
      </c>
      <c r="D566" s="66" t="s">
        <v>198</v>
      </c>
      <c r="E566" s="66">
        <v>1.0</v>
      </c>
      <c r="F566" s="66" t="s">
        <v>205</v>
      </c>
      <c r="G566" s="66">
        <f t="shared" si="11"/>
        <v>0</v>
      </c>
      <c r="H566" s="66">
        <v>22.974</v>
      </c>
      <c r="I566" s="66">
        <v>32.907</v>
      </c>
      <c r="J566" s="66">
        <v>29.8196</v>
      </c>
      <c r="K566" s="81">
        <f t="shared" si="2"/>
        <v>9.933</v>
      </c>
      <c r="L566" s="81">
        <f t="shared" si="3"/>
        <v>6.8456</v>
      </c>
    </row>
    <row r="567">
      <c r="A567" s="82">
        <v>44676.0</v>
      </c>
      <c r="B567" s="82">
        <v>44676.0</v>
      </c>
      <c r="C567" s="66">
        <v>2377.0</v>
      </c>
      <c r="D567" s="66" t="s">
        <v>198</v>
      </c>
      <c r="E567" s="66">
        <v>1.0</v>
      </c>
      <c r="F567" s="66" t="s">
        <v>204</v>
      </c>
      <c r="G567" s="66">
        <f t="shared" si="11"/>
        <v>0</v>
      </c>
      <c r="H567" s="66">
        <v>25.587</v>
      </c>
      <c r="I567" s="66">
        <v>26.7583</v>
      </c>
      <c r="J567" s="66">
        <v>26.4084</v>
      </c>
      <c r="K567" s="81">
        <f t="shared" si="2"/>
        <v>1.1713</v>
      </c>
      <c r="L567" s="81">
        <f t="shared" si="3"/>
        <v>0.8214</v>
      </c>
    </row>
    <row r="568">
      <c r="A568" s="82">
        <v>44676.0</v>
      </c>
      <c r="B568" s="82">
        <v>44676.0</v>
      </c>
      <c r="C568" s="66">
        <v>2372.0</v>
      </c>
      <c r="D568" s="66" t="s">
        <v>203</v>
      </c>
      <c r="E568" s="66">
        <v>0.0</v>
      </c>
      <c r="F568" s="66" t="s">
        <v>205</v>
      </c>
      <c r="G568" s="66">
        <f t="shared" si="11"/>
        <v>0</v>
      </c>
      <c r="H568" s="66">
        <v>26.253</v>
      </c>
      <c r="I568" s="66">
        <v>31.468</v>
      </c>
      <c r="J568" s="66">
        <v>29.0609</v>
      </c>
      <c r="K568" s="81">
        <f t="shared" si="2"/>
        <v>5.215</v>
      </c>
      <c r="L568" s="81">
        <f t="shared" si="3"/>
        <v>2.8079</v>
      </c>
    </row>
    <row r="569">
      <c r="A569" s="82">
        <v>44676.0</v>
      </c>
      <c r="B569" s="82">
        <v>44676.0</v>
      </c>
      <c r="C569" s="66">
        <v>2354.0</v>
      </c>
      <c r="D569" s="66" t="s">
        <v>198</v>
      </c>
      <c r="E569" s="66">
        <v>0.0</v>
      </c>
      <c r="F569" s="66" t="s">
        <v>205</v>
      </c>
      <c r="G569" s="66">
        <f t="shared" si="11"/>
        <v>0</v>
      </c>
      <c r="H569" s="66">
        <v>25.812</v>
      </c>
      <c r="I569" s="66">
        <v>27.8197</v>
      </c>
      <c r="J569" s="66">
        <v>26.8214</v>
      </c>
      <c r="K569" s="81">
        <f t="shared" si="2"/>
        <v>2.0077</v>
      </c>
      <c r="L569" s="81">
        <f t="shared" si="3"/>
        <v>1.0094</v>
      </c>
    </row>
    <row r="570">
      <c r="A570" s="82">
        <v>44676.0</v>
      </c>
      <c r="B570" s="82">
        <v>44676.0</v>
      </c>
      <c r="C570" s="66">
        <v>2365.0</v>
      </c>
      <c r="D570" s="66" t="s">
        <v>203</v>
      </c>
      <c r="E570" s="66">
        <v>0.0</v>
      </c>
      <c r="F570" s="66" t="s">
        <v>205</v>
      </c>
      <c r="G570" s="66">
        <f t="shared" si="11"/>
        <v>0</v>
      </c>
      <c r="H570" s="66">
        <v>26.099</v>
      </c>
      <c r="I570" s="66">
        <v>31.297</v>
      </c>
      <c r="J570" s="66">
        <v>28.5973</v>
      </c>
      <c r="K570" s="81">
        <f t="shared" si="2"/>
        <v>5.198</v>
      </c>
      <c r="L570" s="81">
        <f t="shared" si="3"/>
        <v>2.4983</v>
      </c>
    </row>
    <row r="571">
      <c r="A571" s="82">
        <v>44676.0</v>
      </c>
      <c r="B571" s="82">
        <v>44676.0</v>
      </c>
      <c r="C571" s="66">
        <v>2379.0</v>
      </c>
      <c r="D571" s="66" t="s">
        <v>203</v>
      </c>
      <c r="E571" s="66">
        <v>1.0</v>
      </c>
      <c r="F571" s="66" t="s">
        <v>204</v>
      </c>
      <c r="G571" s="66">
        <f t="shared" si="11"/>
        <v>0</v>
      </c>
      <c r="H571" s="66">
        <v>25.6039</v>
      </c>
      <c r="I571" s="66">
        <v>27.062</v>
      </c>
      <c r="J571" s="66">
        <v>26.4595</v>
      </c>
      <c r="K571" s="81">
        <f t="shared" si="2"/>
        <v>1.4581</v>
      </c>
      <c r="L571" s="81">
        <f t="shared" si="3"/>
        <v>0.8556</v>
      </c>
    </row>
    <row r="572">
      <c r="A572" s="82">
        <v>44676.0</v>
      </c>
      <c r="B572" s="82">
        <v>44676.0</v>
      </c>
      <c r="C572" s="66">
        <v>2011.0</v>
      </c>
      <c r="D572" s="66" t="s">
        <v>203</v>
      </c>
      <c r="E572" s="66">
        <v>0.0</v>
      </c>
      <c r="F572" s="66" t="s">
        <v>204</v>
      </c>
      <c r="G572" s="66">
        <f t="shared" si="11"/>
        <v>0</v>
      </c>
      <c r="H572" s="66">
        <v>25.2529</v>
      </c>
      <c r="I572" s="66">
        <v>26.418</v>
      </c>
      <c r="J572" s="66">
        <v>25.5752</v>
      </c>
      <c r="K572" s="81">
        <f t="shared" si="2"/>
        <v>1.1651</v>
      </c>
      <c r="L572" s="81">
        <f t="shared" si="3"/>
        <v>0.3223</v>
      </c>
    </row>
    <row r="573">
      <c r="A573" s="82">
        <v>44676.0</v>
      </c>
      <c r="B573" s="82">
        <v>44676.0</v>
      </c>
      <c r="C573" s="66">
        <v>2380.0</v>
      </c>
      <c r="D573" s="66" t="s">
        <v>203</v>
      </c>
      <c r="E573" s="66">
        <v>1.0</v>
      </c>
      <c r="F573" s="66" t="s">
        <v>205</v>
      </c>
      <c r="G573" s="66">
        <f t="shared" si="11"/>
        <v>0</v>
      </c>
      <c r="H573" s="66">
        <v>25.619</v>
      </c>
      <c r="I573" s="66">
        <v>30.888</v>
      </c>
      <c r="J573" s="66">
        <v>28.9519</v>
      </c>
      <c r="K573" s="81">
        <f t="shared" si="2"/>
        <v>5.269</v>
      </c>
      <c r="L573" s="81">
        <f t="shared" si="3"/>
        <v>3.3329</v>
      </c>
    </row>
    <row r="574">
      <c r="A574" s="82">
        <v>44676.0</v>
      </c>
      <c r="B574" s="82">
        <v>44676.0</v>
      </c>
      <c r="C574" s="66">
        <v>2383.0</v>
      </c>
      <c r="D574" s="66" t="s">
        <v>203</v>
      </c>
      <c r="E574" s="66">
        <v>0.0</v>
      </c>
      <c r="F574" s="66" t="s">
        <v>205</v>
      </c>
      <c r="G574" s="66">
        <f t="shared" si="11"/>
        <v>0</v>
      </c>
      <c r="H574" s="66">
        <v>25.477</v>
      </c>
      <c r="I574" s="66">
        <v>29.54</v>
      </c>
      <c r="J574" s="66">
        <v>27.6829</v>
      </c>
      <c r="K574" s="81">
        <f t="shared" si="2"/>
        <v>4.063</v>
      </c>
      <c r="L574" s="81">
        <f t="shared" si="3"/>
        <v>2.2059</v>
      </c>
    </row>
    <row r="575">
      <c r="A575" s="82">
        <v>44676.0</v>
      </c>
      <c r="B575" s="82">
        <v>44676.0</v>
      </c>
      <c r="C575" s="66">
        <v>2381.0</v>
      </c>
      <c r="D575" s="66" t="s">
        <v>198</v>
      </c>
      <c r="E575" s="66">
        <v>0.0</v>
      </c>
      <c r="F575" s="66" t="s">
        <v>205</v>
      </c>
      <c r="G575" s="66">
        <f t="shared" si="11"/>
        <v>0</v>
      </c>
      <c r="H575" s="66">
        <v>26.528</v>
      </c>
      <c r="I575" s="66">
        <v>29.7242</v>
      </c>
      <c r="J575" s="66">
        <v>28.171</v>
      </c>
      <c r="K575" s="81">
        <f t="shared" si="2"/>
        <v>3.1962</v>
      </c>
      <c r="L575" s="81">
        <f t="shared" si="3"/>
        <v>1.643</v>
      </c>
    </row>
    <row r="576">
      <c r="A576" s="82">
        <v>44676.0</v>
      </c>
      <c r="B576" s="82">
        <v>44676.0</v>
      </c>
      <c r="C576" s="66">
        <v>2010.0</v>
      </c>
      <c r="D576" s="66" t="s">
        <v>203</v>
      </c>
      <c r="E576" s="66">
        <v>0.0</v>
      </c>
      <c r="F576" s="66" t="s">
        <v>204</v>
      </c>
      <c r="G576" s="66">
        <f t="shared" si="11"/>
        <v>0</v>
      </c>
      <c r="H576" s="66">
        <v>25.67</v>
      </c>
      <c r="I576" s="66">
        <v>25.955</v>
      </c>
      <c r="J576" s="66">
        <v>25.995</v>
      </c>
      <c r="K576" s="81">
        <f t="shared" si="2"/>
        <v>0.285</v>
      </c>
      <c r="L576" s="81">
        <f t="shared" si="3"/>
        <v>0.325</v>
      </c>
    </row>
    <row r="577">
      <c r="A577" s="82">
        <v>44676.0</v>
      </c>
      <c r="B577" s="82">
        <v>44676.0</v>
      </c>
      <c r="C577" s="66">
        <v>2354.0</v>
      </c>
      <c r="D577" s="66" t="s">
        <v>198</v>
      </c>
      <c r="E577" s="66">
        <v>1.0</v>
      </c>
      <c r="F577" s="66" t="s">
        <v>205</v>
      </c>
      <c r="G577" s="66">
        <f t="shared" si="11"/>
        <v>0</v>
      </c>
      <c r="H577" s="66">
        <v>26.381</v>
      </c>
      <c r="I577" s="66">
        <v>31.1728</v>
      </c>
      <c r="J577" s="66">
        <v>29.1486</v>
      </c>
      <c r="K577" s="81">
        <f t="shared" si="2"/>
        <v>4.7918</v>
      </c>
      <c r="L577" s="81">
        <f t="shared" si="3"/>
        <v>2.7676</v>
      </c>
    </row>
    <row r="578">
      <c r="A578" s="82">
        <v>44676.0</v>
      </c>
      <c r="B578" s="82">
        <v>44676.0</v>
      </c>
      <c r="C578" s="66">
        <v>2382.0</v>
      </c>
      <c r="D578" s="66" t="s">
        <v>198</v>
      </c>
      <c r="E578" s="66">
        <v>0.0</v>
      </c>
      <c r="F578" s="66" t="s">
        <v>204</v>
      </c>
      <c r="G578" s="66">
        <f t="shared" si="11"/>
        <v>0</v>
      </c>
      <c r="H578" s="66">
        <v>25.372</v>
      </c>
      <c r="I578" s="66">
        <v>26.3959</v>
      </c>
      <c r="J578" s="66">
        <v>25.7379</v>
      </c>
      <c r="K578" s="81">
        <f t="shared" si="2"/>
        <v>1.0239</v>
      </c>
      <c r="L578" s="81">
        <f t="shared" si="3"/>
        <v>0.3659</v>
      </c>
    </row>
    <row r="579">
      <c r="A579" s="82">
        <v>44676.0</v>
      </c>
      <c r="B579" s="82">
        <v>44676.0</v>
      </c>
      <c r="C579" s="66">
        <v>2127.0</v>
      </c>
      <c r="D579" s="66" t="s">
        <v>203</v>
      </c>
      <c r="E579" s="66">
        <v>0.0</v>
      </c>
      <c r="F579" s="66" t="s">
        <v>205</v>
      </c>
      <c r="G579" s="66">
        <f t="shared" si="11"/>
        <v>0</v>
      </c>
      <c r="H579" s="66">
        <v>26.181</v>
      </c>
      <c r="I579" s="66">
        <v>30.264</v>
      </c>
      <c r="J579" s="66">
        <v>28.3745</v>
      </c>
      <c r="K579" s="81">
        <f t="shared" si="2"/>
        <v>4.083</v>
      </c>
      <c r="L579" s="81">
        <f t="shared" si="3"/>
        <v>2.1935</v>
      </c>
    </row>
    <row r="580">
      <c r="A580" s="82">
        <v>44676.0</v>
      </c>
      <c r="B580" s="82">
        <v>44676.0</v>
      </c>
      <c r="C580" s="66">
        <v>2352.0</v>
      </c>
      <c r="D580" s="66" t="s">
        <v>198</v>
      </c>
      <c r="E580" s="66">
        <v>0.0</v>
      </c>
      <c r="F580" s="66" t="s">
        <v>204</v>
      </c>
      <c r="G580" s="66">
        <f t="shared" si="11"/>
        <v>0</v>
      </c>
      <c r="H580" s="66">
        <v>15.532</v>
      </c>
      <c r="I580" s="66">
        <v>16.1569</v>
      </c>
      <c r="J580" s="66">
        <v>15.656</v>
      </c>
      <c r="K580" s="81">
        <f t="shared" si="2"/>
        <v>0.6249</v>
      </c>
      <c r="L580" s="81">
        <f t="shared" si="3"/>
        <v>0.124</v>
      </c>
    </row>
    <row r="581">
      <c r="A581" s="82">
        <v>44676.0</v>
      </c>
      <c r="B581" s="82">
        <v>44676.0</v>
      </c>
      <c r="C581" s="66">
        <v>2367.0</v>
      </c>
      <c r="D581" s="66" t="s">
        <v>198</v>
      </c>
      <c r="E581" s="66">
        <v>0.0</v>
      </c>
      <c r="F581" s="66" t="s">
        <v>205</v>
      </c>
      <c r="G581" s="66">
        <f t="shared" si="11"/>
        <v>0</v>
      </c>
      <c r="H581" s="66">
        <v>26.458</v>
      </c>
      <c r="I581" s="66">
        <v>28.2077</v>
      </c>
      <c r="J581" s="66">
        <v>27.3676</v>
      </c>
      <c r="K581" s="81">
        <f t="shared" si="2"/>
        <v>1.7497</v>
      </c>
      <c r="L581" s="81">
        <f t="shared" si="3"/>
        <v>0.9096</v>
      </c>
    </row>
    <row r="582">
      <c r="A582" s="82">
        <v>44676.0</v>
      </c>
      <c r="B582" s="82">
        <v>44676.0</v>
      </c>
      <c r="C582" s="66">
        <v>2379.0</v>
      </c>
      <c r="D582" s="66" t="s">
        <v>203</v>
      </c>
      <c r="E582" s="66">
        <v>0.0</v>
      </c>
      <c r="F582" s="66" t="s">
        <v>205</v>
      </c>
      <c r="G582" s="66">
        <f t="shared" si="11"/>
        <v>0</v>
      </c>
      <c r="H582" s="66">
        <v>26.287</v>
      </c>
      <c r="I582" s="66">
        <v>31.908</v>
      </c>
      <c r="J582" s="66">
        <v>29.3536</v>
      </c>
      <c r="K582" s="81">
        <f t="shared" si="2"/>
        <v>5.621</v>
      </c>
      <c r="L582" s="81">
        <f t="shared" si="3"/>
        <v>3.0666</v>
      </c>
    </row>
    <row r="583">
      <c r="A583" s="82">
        <v>44676.0</v>
      </c>
      <c r="B583" s="82">
        <v>44676.0</v>
      </c>
      <c r="C583" s="66">
        <v>2375.0</v>
      </c>
      <c r="D583" s="66" t="s">
        <v>198</v>
      </c>
      <c r="E583" s="66">
        <v>0.0</v>
      </c>
      <c r="F583" s="66" t="s">
        <v>205</v>
      </c>
      <c r="G583" s="66">
        <f t="shared" si="11"/>
        <v>0</v>
      </c>
      <c r="H583" s="66">
        <v>25.367</v>
      </c>
      <c r="I583" s="66">
        <v>29.2917</v>
      </c>
      <c r="J583" s="66">
        <v>27.129</v>
      </c>
      <c r="K583" s="81">
        <f t="shared" si="2"/>
        <v>3.9247</v>
      </c>
      <c r="L583" s="81">
        <f t="shared" si="3"/>
        <v>1.762</v>
      </c>
    </row>
    <row r="584">
      <c r="A584" s="82">
        <v>44676.0</v>
      </c>
      <c r="B584" s="82">
        <v>44676.0</v>
      </c>
      <c r="C584" s="66">
        <v>2345.0</v>
      </c>
      <c r="D584" s="66" t="s">
        <v>198</v>
      </c>
      <c r="E584" s="66">
        <v>1.0</v>
      </c>
      <c r="F584" s="66" t="s">
        <v>205</v>
      </c>
      <c r="G584" s="66">
        <f t="shared" si="11"/>
        <v>0</v>
      </c>
      <c r="H584" s="66">
        <v>25.999</v>
      </c>
      <c r="I584" s="66">
        <v>31.4128</v>
      </c>
      <c r="J584" s="66">
        <v>29.2922</v>
      </c>
      <c r="K584" s="81">
        <f t="shared" si="2"/>
        <v>5.4138</v>
      </c>
      <c r="L584" s="81">
        <f t="shared" si="3"/>
        <v>3.2932</v>
      </c>
    </row>
    <row r="585">
      <c r="A585" s="82">
        <v>44676.0</v>
      </c>
      <c r="B585" s="82">
        <v>44676.0</v>
      </c>
      <c r="C585" s="66">
        <v>2352.0</v>
      </c>
      <c r="D585" s="66" t="s">
        <v>203</v>
      </c>
      <c r="E585" s="66">
        <v>1.0</v>
      </c>
      <c r="F585" s="66" t="s">
        <v>205</v>
      </c>
      <c r="G585" s="66">
        <f t="shared" si="11"/>
        <v>0</v>
      </c>
      <c r="H585" s="66">
        <v>26.068</v>
      </c>
      <c r="I585" s="66">
        <v>32.029</v>
      </c>
      <c r="J585" s="66">
        <v>29.915</v>
      </c>
      <c r="K585" s="81">
        <f t="shared" si="2"/>
        <v>5.961</v>
      </c>
      <c r="L585" s="81">
        <f t="shared" si="3"/>
        <v>3.847</v>
      </c>
    </row>
    <row r="586">
      <c r="A586" s="82">
        <v>44676.0</v>
      </c>
      <c r="B586" s="82">
        <v>44676.0</v>
      </c>
      <c r="C586" s="66">
        <v>2301.0</v>
      </c>
      <c r="D586" s="66" t="s">
        <v>198</v>
      </c>
      <c r="E586" s="66">
        <v>1.0</v>
      </c>
      <c r="F586" s="66" t="s">
        <v>204</v>
      </c>
      <c r="G586" s="66">
        <f t="shared" si="11"/>
        <v>0</v>
      </c>
      <c r="H586" s="66">
        <v>26.0176</v>
      </c>
      <c r="I586" s="66">
        <v>26.5374</v>
      </c>
      <c r="J586" s="66">
        <v>26.278</v>
      </c>
      <c r="K586" s="81">
        <f t="shared" si="2"/>
        <v>0.5198</v>
      </c>
      <c r="L586" s="81">
        <f t="shared" si="3"/>
        <v>0.2604</v>
      </c>
    </row>
    <row r="587">
      <c r="A587" s="82">
        <v>44676.0</v>
      </c>
      <c r="B587" s="82">
        <v>44676.0</v>
      </c>
      <c r="C587" s="66">
        <v>2370.0</v>
      </c>
      <c r="D587" s="66" t="s">
        <v>198</v>
      </c>
      <c r="E587" s="66">
        <v>0.0</v>
      </c>
      <c r="F587" s="66" t="s">
        <v>205</v>
      </c>
      <c r="G587" s="66">
        <f t="shared" si="11"/>
        <v>0</v>
      </c>
      <c r="H587" s="66">
        <v>26.5395</v>
      </c>
      <c r="I587" s="66">
        <v>29.4084</v>
      </c>
      <c r="J587" s="66">
        <v>28.137</v>
      </c>
      <c r="K587" s="81">
        <f t="shared" si="2"/>
        <v>2.8689</v>
      </c>
      <c r="L587" s="81">
        <f t="shared" si="3"/>
        <v>1.5975</v>
      </c>
    </row>
    <row r="588">
      <c r="A588" s="82">
        <v>44676.0</v>
      </c>
      <c r="B588" s="82">
        <v>44676.0</v>
      </c>
      <c r="C588" s="66">
        <v>2352.0</v>
      </c>
      <c r="D588" s="66" t="s">
        <v>198</v>
      </c>
      <c r="E588" s="66">
        <v>1.0</v>
      </c>
      <c r="F588" s="66" t="s">
        <v>204</v>
      </c>
      <c r="G588" s="66">
        <f t="shared" si="11"/>
        <v>0</v>
      </c>
      <c r="H588" s="66">
        <v>26.1817</v>
      </c>
      <c r="I588" s="66">
        <v>26.6275</v>
      </c>
      <c r="J588" s="66">
        <v>26.3952</v>
      </c>
      <c r="K588" s="81">
        <f t="shared" si="2"/>
        <v>0.4458</v>
      </c>
      <c r="L588" s="81">
        <f t="shared" si="3"/>
        <v>0.2135</v>
      </c>
    </row>
    <row r="589">
      <c r="A589" s="82">
        <v>44676.0</v>
      </c>
      <c r="B589" s="82">
        <v>44676.0</v>
      </c>
      <c r="C589" s="66">
        <v>2380.0</v>
      </c>
      <c r="D589" s="66" t="s">
        <v>203</v>
      </c>
      <c r="E589" s="66">
        <v>1.0</v>
      </c>
      <c r="F589" s="66" t="s">
        <v>204</v>
      </c>
      <c r="G589" s="66">
        <f t="shared" si="11"/>
        <v>0</v>
      </c>
      <c r="H589" s="66">
        <v>26.262</v>
      </c>
      <c r="I589" s="66">
        <v>28.32</v>
      </c>
      <c r="J589" s="66">
        <v>27.659</v>
      </c>
      <c r="K589" s="81">
        <f t="shared" si="2"/>
        <v>2.058</v>
      </c>
      <c r="L589" s="81">
        <f t="shared" si="3"/>
        <v>1.397</v>
      </c>
    </row>
    <row r="590">
      <c r="A590" s="82">
        <v>44676.0</v>
      </c>
      <c r="B590" s="82">
        <v>44676.0</v>
      </c>
      <c r="C590" s="66">
        <v>2354.0</v>
      </c>
      <c r="D590" s="66" t="s">
        <v>203</v>
      </c>
      <c r="E590" s="66">
        <v>0.0</v>
      </c>
      <c r="F590" s="66" t="s">
        <v>204</v>
      </c>
      <c r="G590" s="66">
        <f t="shared" si="11"/>
        <v>0</v>
      </c>
      <c r="H590" s="66">
        <v>26.065</v>
      </c>
      <c r="I590" s="66">
        <v>26.143</v>
      </c>
      <c r="J590" s="66">
        <v>26.1034</v>
      </c>
      <c r="K590" s="81">
        <f t="shared" si="2"/>
        <v>0.078</v>
      </c>
      <c r="L590" s="81">
        <f t="shared" si="3"/>
        <v>0.0384</v>
      </c>
    </row>
    <row r="591">
      <c r="A591" s="82">
        <v>44676.0</v>
      </c>
      <c r="B591" s="82">
        <v>44676.0</v>
      </c>
      <c r="C591" s="66">
        <v>2379.0</v>
      </c>
      <c r="D591" s="66" t="s">
        <v>198</v>
      </c>
      <c r="E591" s="66">
        <v>0.0</v>
      </c>
      <c r="F591" s="66" t="s">
        <v>205</v>
      </c>
      <c r="G591" s="66">
        <f t="shared" si="11"/>
        <v>0</v>
      </c>
      <c r="H591" s="66">
        <v>25.836</v>
      </c>
      <c r="I591" s="66">
        <v>28.0322</v>
      </c>
      <c r="J591" s="66">
        <v>27.1756</v>
      </c>
      <c r="K591" s="81">
        <f t="shared" si="2"/>
        <v>2.1962</v>
      </c>
      <c r="L591" s="81">
        <f t="shared" si="3"/>
        <v>1.3396</v>
      </c>
    </row>
    <row r="592">
      <c r="A592" s="82">
        <v>44676.0</v>
      </c>
      <c r="B592" s="82">
        <v>44676.0</v>
      </c>
      <c r="C592" s="66">
        <v>2377.0</v>
      </c>
      <c r="D592" s="66" t="s">
        <v>203</v>
      </c>
      <c r="E592" s="66">
        <v>1.0</v>
      </c>
      <c r="F592" s="66" t="s">
        <v>204</v>
      </c>
      <c r="G592" s="66">
        <f t="shared" si="11"/>
        <v>0</v>
      </c>
      <c r="H592" s="66">
        <v>25.5739</v>
      </c>
      <c r="I592" s="66">
        <v>28.315</v>
      </c>
      <c r="J592" s="66">
        <v>27.3001</v>
      </c>
      <c r="K592" s="81">
        <f t="shared" si="2"/>
        <v>2.7411</v>
      </c>
      <c r="L592" s="81">
        <f t="shared" si="3"/>
        <v>1.7262</v>
      </c>
    </row>
    <row r="593">
      <c r="A593" s="82">
        <v>44676.0</v>
      </c>
      <c r="B593" s="82">
        <v>44676.0</v>
      </c>
      <c r="C593" s="66">
        <v>2360.0</v>
      </c>
      <c r="D593" s="66" t="s">
        <v>198</v>
      </c>
      <c r="E593" s="66">
        <v>0.0</v>
      </c>
      <c r="F593" s="66" t="s">
        <v>204</v>
      </c>
      <c r="G593" s="66">
        <f t="shared" si="11"/>
        <v>0</v>
      </c>
      <c r="H593" s="66">
        <v>26.452</v>
      </c>
      <c r="I593" s="66">
        <v>26.6285</v>
      </c>
      <c r="J593" s="66">
        <v>26.5603</v>
      </c>
      <c r="K593" s="81">
        <f t="shared" si="2"/>
        <v>0.1765</v>
      </c>
      <c r="L593" s="81">
        <f t="shared" si="3"/>
        <v>0.1083</v>
      </c>
    </row>
    <row r="594">
      <c r="A594" s="82">
        <v>44676.0</v>
      </c>
      <c r="B594" s="82">
        <v>44676.0</v>
      </c>
      <c r="C594" s="66">
        <v>2009.0</v>
      </c>
      <c r="D594" s="66" t="s">
        <v>198</v>
      </c>
      <c r="E594" s="66">
        <v>0.0</v>
      </c>
      <c r="F594" s="66" t="s">
        <v>204</v>
      </c>
      <c r="G594" s="66">
        <f t="shared" si="11"/>
        <v>0</v>
      </c>
      <c r="H594" s="66">
        <v>25.7749</v>
      </c>
      <c r="I594" s="66">
        <v>26.2291</v>
      </c>
      <c r="J594" s="66">
        <v>25.961</v>
      </c>
      <c r="K594" s="81">
        <f t="shared" si="2"/>
        <v>0.4542</v>
      </c>
      <c r="L594" s="81">
        <f t="shared" si="3"/>
        <v>0.1861</v>
      </c>
    </row>
    <row r="595">
      <c r="A595" s="82">
        <v>44676.0</v>
      </c>
      <c r="B595" s="82">
        <v>44676.0</v>
      </c>
      <c r="C595" s="66">
        <v>2369.0</v>
      </c>
      <c r="D595" s="66" t="s">
        <v>203</v>
      </c>
      <c r="E595" s="66">
        <v>0.0</v>
      </c>
      <c r="F595" s="66" t="s">
        <v>205</v>
      </c>
      <c r="G595" s="66">
        <f t="shared" si="11"/>
        <v>0</v>
      </c>
      <c r="H595" s="66">
        <v>26.2544</v>
      </c>
      <c r="I595" s="66">
        <v>32.339</v>
      </c>
      <c r="J595" s="66">
        <v>29.4978</v>
      </c>
      <c r="K595" s="81">
        <f t="shared" si="2"/>
        <v>6.0846</v>
      </c>
      <c r="L595" s="81">
        <f t="shared" si="3"/>
        <v>3.2434</v>
      </c>
    </row>
    <row r="596">
      <c r="A596" s="82">
        <v>44676.0</v>
      </c>
      <c r="B596" s="82">
        <v>44676.0</v>
      </c>
      <c r="C596" s="66">
        <v>2369.0</v>
      </c>
      <c r="D596" s="66" t="s">
        <v>198</v>
      </c>
      <c r="E596" s="66">
        <v>0.0</v>
      </c>
      <c r="F596" s="66" t="s">
        <v>205</v>
      </c>
      <c r="G596" s="66">
        <f t="shared" si="11"/>
        <v>0</v>
      </c>
      <c r="H596" s="66">
        <v>26.258</v>
      </c>
      <c r="I596" s="66">
        <v>28.3789</v>
      </c>
      <c r="J596" s="66">
        <v>27.3291</v>
      </c>
      <c r="K596" s="81">
        <f t="shared" si="2"/>
        <v>2.1209</v>
      </c>
      <c r="L596" s="81">
        <f t="shared" si="3"/>
        <v>1.0711</v>
      </c>
    </row>
    <row r="597">
      <c r="A597" s="82">
        <v>44676.0</v>
      </c>
      <c r="B597" s="82">
        <v>44676.0</v>
      </c>
      <c r="C597" s="66">
        <v>2367.0</v>
      </c>
      <c r="D597" s="66" t="s">
        <v>203</v>
      </c>
      <c r="E597" s="66">
        <v>0.0</v>
      </c>
      <c r="F597" s="66" t="s">
        <v>204</v>
      </c>
      <c r="G597" s="66">
        <f t="shared" si="11"/>
        <v>0</v>
      </c>
      <c r="H597" s="66">
        <v>15.278</v>
      </c>
      <c r="I597" s="66">
        <v>15.37</v>
      </c>
      <c r="J597" s="66">
        <v>15.522</v>
      </c>
      <c r="K597" s="81">
        <f t="shared" si="2"/>
        <v>0.092</v>
      </c>
      <c r="L597" s="81">
        <f t="shared" si="3"/>
        <v>0.244</v>
      </c>
    </row>
    <row r="598">
      <c r="A598" s="82">
        <v>44676.0</v>
      </c>
      <c r="B598" s="82">
        <v>44676.0</v>
      </c>
      <c r="C598" s="66">
        <v>2011.0</v>
      </c>
      <c r="D598" s="66" t="s">
        <v>198</v>
      </c>
      <c r="E598" s="66">
        <v>0.0</v>
      </c>
      <c r="F598" s="66" t="s">
        <v>204</v>
      </c>
      <c r="G598" s="66">
        <f t="shared" si="11"/>
        <v>0</v>
      </c>
      <c r="H598" s="66">
        <v>25.498</v>
      </c>
      <c r="I598" s="66">
        <v>26.1024</v>
      </c>
      <c r="J598" s="66">
        <v>25.6186</v>
      </c>
      <c r="K598" s="81">
        <f t="shared" si="2"/>
        <v>0.6044</v>
      </c>
      <c r="L598" s="81">
        <f t="shared" si="3"/>
        <v>0.1206</v>
      </c>
    </row>
    <row r="599">
      <c r="A599" s="82">
        <v>44676.0</v>
      </c>
      <c r="B599" s="82">
        <v>44676.0</v>
      </c>
      <c r="C599" s="66">
        <v>2379.0</v>
      </c>
      <c r="D599" s="66" t="s">
        <v>203</v>
      </c>
      <c r="E599" s="66">
        <v>0.0</v>
      </c>
      <c r="F599" s="66" t="s">
        <v>204</v>
      </c>
      <c r="G599" s="66">
        <f t="shared" si="11"/>
        <v>0</v>
      </c>
      <c r="H599" s="66">
        <v>25.3806</v>
      </c>
      <c r="I599" s="66">
        <v>25.697</v>
      </c>
      <c r="J599" s="66">
        <v>25.5124</v>
      </c>
      <c r="K599" s="81">
        <f t="shared" si="2"/>
        <v>0.3164</v>
      </c>
      <c r="L599" s="81">
        <f t="shared" si="3"/>
        <v>0.1318</v>
      </c>
    </row>
    <row r="600">
      <c r="A600" s="82">
        <v>44676.0</v>
      </c>
      <c r="B600" s="82">
        <v>44676.0</v>
      </c>
      <c r="C600" s="66">
        <v>2343.0</v>
      </c>
      <c r="D600" s="66" t="s">
        <v>198</v>
      </c>
      <c r="E600" s="66">
        <v>0.0</v>
      </c>
      <c r="F600" s="66" t="s">
        <v>204</v>
      </c>
      <c r="G600" s="66">
        <f t="shared" si="11"/>
        <v>0</v>
      </c>
      <c r="H600" s="66">
        <v>26.4875</v>
      </c>
      <c r="I600" s="66">
        <v>26.5828</v>
      </c>
      <c r="J600" s="66">
        <v>26.6789</v>
      </c>
      <c r="K600" s="81">
        <f t="shared" si="2"/>
        <v>0.0953</v>
      </c>
      <c r="L600" s="81">
        <f t="shared" si="3"/>
        <v>0.1914</v>
      </c>
    </row>
    <row r="601">
      <c r="A601" s="82">
        <v>44676.0</v>
      </c>
      <c r="B601" s="82">
        <v>44676.0</v>
      </c>
      <c r="C601" s="66">
        <v>2347.0</v>
      </c>
      <c r="D601" s="66" t="s">
        <v>198</v>
      </c>
      <c r="E601" s="66">
        <v>0.0</v>
      </c>
      <c r="F601" s="66" t="s">
        <v>205</v>
      </c>
      <c r="G601" s="66">
        <f t="shared" si="11"/>
        <v>0</v>
      </c>
      <c r="H601" s="66">
        <v>25.3743</v>
      </c>
      <c r="I601" s="66">
        <v>29.0007</v>
      </c>
      <c r="J601" s="66">
        <v>26.9231</v>
      </c>
      <c r="K601" s="81">
        <f t="shared" si="2"/>
        <v>3.6264</v>
      </c>
      <c r="L601" s="81">
        <f t="shared" si="3"/>
        <v>1.5488</v>
      </c>
    </row>
    <row r="602">
      <c r="A602" s="82">
        <v>44676.0</v>
      </c>
      <c r="B602" s="82">
        <v>44676.0</v>
      </c>
      <c r="C602" s="66">
        <v>2354.0</v>
      </c>
      <c r="D602" s="66" t="s">
        <v>198</v>
      </c>
      <c r="E602" s="66">
        <v>0.0</v>
      </c>
      <c r="F602" s="66" t="s">
        <v>204</v>
      </c>
      <c r="G602" s="66">
        <f t="shared" si="11"/>
        <v>0</v>
      </c>
      <c r="H602" s="66">
        <v>26.1842</v>
      </c>
      <c r="I602" s="66">
        <v>26.4155</v>
      </c>
      <c r="J602" s="66">
        <v>26.2899</v>
      </c>
      <c r="K602" s="81">
        <f t="shared" si="2"/>
        <v>0.2313</v>
      </c>
      <c r="L602" s="81">
        <f t="shared" si="3"/>
        <v>0.1057</v>
      </c>
    </row>
    <row r="603">
      <c r="A603" s="82">
        <v>44676.0</v>
      </c>
      <c r="B603" s="82">
        <v>44676.0</v>
      </c>
      <c r="C603" s="66">
        <v>2352.0</v>
      </c>
      <c r="D603" s="66" t="s">
        <v>198</v>
      </c>
      <c r="E603" s="66">
        <v>1.0</v>
      </c>
      <c r="F603" s="66" t="s">
        <v>205</v>
      </c>
      <c r="G603" s="66">
        <f t="shared" si="11"/>
        <v>0</v>
      </c>
      <c r="H603" s="66">
        <v>25.6375</v>
      </c>
      <c r="I603" s="66">
        <v>27.9826</v>
      </c>
      <c r="J603" s="66">
        <v>26.9772</v>
      </c>
      <c r="K603" s="81">
        <f t="shared" si="2"/>
        <v>2.3451</v>
      </c>
      <c r="L603" s="81">
        <f t="shared" si="3"/>
        <v>1.3397</v>
      </c>
    </row>
    <row r="604">
      <c r="A604" s="82">
        <v>44676.0</v>
      </c>
      <c r="B604" s="82">
        <v>44676.0</v>
      </c>
      <c r="C604" s="66">
        <v>2384.0</v>
      </c>
      <c r="D604" s="66" t="s">
        <v>203</v>
      </c>
      <c r="E604" s="66">
        <v>0.0</v>
      </c>
      <c r="F604" s="66" t="s">
        <v>204</v>
      </c>
      <c r="G604" s="66">
        <f t="shared" si="11"/>
        <v>0</v>
      </c>
      <c r="H604" s="66">
        <v>15.3765</v>
      </c>
      <c r="I604" s="66">
        <v>15.5166</v>
      </c>
      <c r="J604" s="66">
        <v>15.44</v>
      </c>
      <c r="K604" s="81">
        <f t="shared" si="2"/>
        <v>0.1401</v>
      </c>
      <c r="L604" s="81">
        <f t="shared" si="3"/>
        <v>0.0635</v>
      </c>
    </row>
    <row r="605">
      <c r="A605" s="82">
        <v>44676.0</v>
      </c>
      <c r="B605" s="82">
        <v>44676.0</v>
      </c>
      <c r="C605" s="66">
        <v>2383.0</v>
      </c>
      <c r="D605" s="66" t="s">
        <v>203</v>
      </c>
      <c r="E605" s="66">
        <v>0.0</v>
      </c>
      <c r="F605" s="66" t="s">
        <v>204</v>
      </c>
      <c r="G605" s="66">
        <f t="shared" si="11"/>
        <v>0</v>
      </c>
      <c r="H605" s="66">
        <v>25.5467</v>
      </c>
      <c r="I605" s="66">
        <v>26.432</v>
      </c>
      <c r="J605" s="66">
        <v>25.7653</v>
      </c>
      <c r="K605" s="81">
        <f t="shared" si="2"/>
        <v>0.8853</v>
      </c>
      <c r="L605" s="81">
        <f t="shared" si="3"/>
        <v>0.2186</v>
      </c>
    </row>
    <row r="606">
      <c r="A606" s="82">
        <v>44676.0</v>
      </c>
      <c r="B606" s="82">
        <v>44676.0</v>
      </c>
      <c r="C606" s="66">
        <v>2343.0</v>
      </c>
      <c r="D606" s="66" t="s">
        <v>203</v>
      </c>
      <c r="E606" s="66">
        <v>0.0</v>
      </c>
      <c r="F606" s="66" t="s">
        <v>205</v>
      </c>
      <c r="G606" s="66">
        <f t="shared" si="11"/>
        <v>0</v>
      </c>
      <c r="H606" s="66">
        <v>26.0115</v>
      </c>
      <c r="I606" s="66">
        <v>31.448</v>
      </c>
      <c r="J606" s="66">
        <v>28.6598</v>
      </c>
      <c r="K606" s="81">
        <f t="shared" si="2"/>
        <v>5.4365</v>
      </c>
      <c r="L606" s="81">
        <f t="shared" si="3"/>
        <v>2.6483</v>
      </c>
    </row>
    <row r="607">
      <c r="A607" s="82">
        <v>44676.0</v>
      </c>
      <c r="B607" s="82">
        <v>44676.0</v>
      </c>
      <c r="C607" s="66">
        <v>2360.0</v>
      </c>
      <c r="D607" s="66" t="s">
        <v>203</v>
      </c>
      <c r="E607" s="66">
        <v>0.0</v>
      </c>
      <c r="F607" s="66" t="s">
        <v>205</v>
      </c>
      <c r="G607" s="66">
        <f t="shared" si="11"/>
        <v>0</v>
      </c>
      <c r="H607" s="66">
        <v>25.3851</v>
      </c>
      <c r="I607" s="66">
        <v>29.392</v>
      </c>
      <c r="J607" s="66">
        <v>27.378</v>
      </c>
      <c r="K607" s="81">
        <f t="shared" si="2"/>
        <v>4.0069</v>
      </c>
      <c r="L607" s="81">
        <f t="shared" si="3"/>
        <v>1.9929</v>
      </c>
    </row>
    <row r="608">
      <c r="A608" s="82">
        <v>44676.0</v>
      </c>
      <c r="B608" s="82">
        <v>44676.0</v>
      </c>
      <c r="C608" s="66">
        <v>2352.0</v>
      </c>
      <c r="D608" s="66" t="s">
        <v>203</v>
      </c>
      <c r="E608" s="66">
        <v>1.0</v>
      </c>
      <c r="F608" s="66" t="s">
        <v>204</v>
      </c>
      <c r="G608" s="66">
        <f t="shared" si="11"/>
        <v>0</v>
      </c>
      <c r="H608" s="66">
        <v>16.0983</v>
      </c>
      <c r="I608" s="66">
        <v>17.269</v>
      </c>
      <c r="J608" s="66">
        <v>16.7947</v>
      </c>
      <c r="K608" s="81">
        <f t="shared" si="2"/>
        <v>1.1707</v>
      </c>
      <c r="L608" s="81">
        <f t="shared" si="3"/>
        <v>0.6964</v>
      </c>
    </row>
    <row r="609">
      <c r="A609" s="82">
        <v>44676.0</v>
      </c>
      <c r="B609" s="82">
        <v>44676.0</v>
      </c>
      <c r="C609" s="66">
        <v>2378.0</v>
      </c>
      <c r="D609" s="66" t="s">
        <v>198</v>
      </c>
      <c r="E609" s="66">
        <v>0.0</v>
      </c>
      <c r="F609" s="66" t="s">
        <v>204</v>
      </c>
      <c r="G609" s="66">
        <f t="shared" si="11"/>
        <v>0</v>
      </c>
      <c r="H609" s="66">
        <v>26.3192</v>
      </c>
      <c r="I609" s="66">
        <v>26.5913</v>
      </c>
      <c r="J609" s="66">
        <v>26.4686</v>
      </c>
      <c r="K609" s="81">
        <f t="shared" si="2"/>
        <v>0.2721</v>
      </c>
      <c r="L609" s="81">
        <f t="shared" si="3"/>
        <v>0.1494</v>
      </c>
    </row>
    <row r="610">
      <c r="A610" s="82">
        <v>44676.0</v>
      </c>
      <c r="B610" s="82">
        <v>44676.0</v>
      </c>
      <c r="C610" s="66">
        <v>2371.0</v>
      </c>
      <c r="D610" s="66" t="s">
        <v>198</v>
      </c>
      <c r="E610" s="66">
        <v>0.0</v>
      </c>
      <c r="F610" s="66" t="s">
        <v>204</v>
      </c>
      <c r="G610" s="66">
        <f t="shared" si="11"/>
        <v>0</v>
      </c>
      <c r="H610" s="66">
        <v>26.6243</v>
      </c>
      <c r="I610" s="66">
        <v>26.8907</v>
      </c>
      <c r="J610" s="66">
        <v>26.8747</v>
      </c>
      <c r="K610" s="81">
        <f t="shared" si="2"/>
        <v>0.2664</v>
      </c>
      <c r="L610" s="81">
        <f t="shared" si="3"/>
        <v>0.2504</v>
      </c>
    </row>
    <row r="611">
      <c r="A611" s="82">
        <v>44676.0</v>
      </c>
      <c r="B611" s="82">
        <v>44676.0</v>
      </c>
      <c r="C611" s="66">
        <v>2301.0</v>
      </c>
      <c r="D611" s="66" t="s">
        <v>198</v>
      </c>
      <c r="E611" s="66">
        <v>1.0</v>
      </c>
      <c r="F611" s="66" t="s">
        <v>205</v>
      </c>
      <c r="G611" s="66">
        <f t="shared" si="11"/>
        <v>0</v>
      </c>
      <c r="H611" s="66">
        <v>25.7524</v>
      </c>
      <c r="I611" s="66">
        <v>31.6593</v>
      </c>
      <c r="J611" s="66">
        <v>29.178</v>
      </c>
      <c r="K611" s="81">
        <f t="shared" si="2"/>
        <v>5.9069</v>
      </c>
      <c r="L611" s="81">
        <f t="shared" si="3"/>
        <v>3.4256</v>
      </c>
    </row>
    <row r="612">
      <c r="A612" s="82">
        <v>44676.0</v>
      </c>
      <c r="B612" s="82">
        <v>44676.0</v>
      </c>
      <c r="C612" s="66">
        <v>2376.0</v>
      </c>
      <c r="D612" s="66" t="s">
        <v>198</v>
      </c>
      <c r="E612" s="66">
        <v>1.0</v>
      </c>
      <c r="F612" s="66" t="s">
        <v>205</v>
      </c>
      <c r="G612" s="66">
        <f t="shared" si="11"/>
        <v>0</v>
      </c>
      <c r="H612" s="66">
        <v>25.7386</v>
      </c>
      <c r="I612" s="66">
        <v>30.9</v>
      </c>
      <c r="J612" s="66">
        <v>28.719</v>
      </c>
      <c r="K612" s="81">
        <f t="shared" si="2"/>
        <v>5.1614</v>
      </c>
      <c r="L612" s="81">
        <f t="shared" si="3"/>
        <v>2.9804</v>
      </c>
    </row>
    <row r="613">
      <c r="A613" s="82">
        <v>44676.0</v>
      </c>
      <c r="B613" s="82">
        <v>44676.0</v>
      </c>
      <c r="C613" s="66">
        <v>2376.0</v>
      </c>
      <c r="D613" s="66" t="s">
        <v>198</v>
      </c>
      <c r="E613" s="66">
        <v>1.0</v>
      </c>
      <c r="F613" s="66" t="s">
        <v>204</v>
      </c>
      <c r="G613" s="66">
        <f t="shared" si="11"/>
        <v>0</v>
      </c>
      <c r="H613" s="66">
        <v>25.9381</v>
      </c>
      <c r="I613" s="66">
        <v>27.1828</v>
      </c>
      <c r="J613" s="66">
        <v>26.4232</v>
      </c>
      <c r="K613" s="81">
        <f t="shared" si="2"/>
        <v>1.2447</v>
      </c>
      <c r="L613" s="81">
        <f t="shared" si="3"/>
        <v>0.4851</v>
      </c>
    </row>
    <row r="614">
      <c r="A614" s="82">
        <v>44676.0</v>
      </c>
      <c r="B614" s="82">
        <v>44676.0</v>
      </c>
      <c r="C614" s="66">
        <v>2367.0</v>
      </c>
      <c r="D614" s="66" t="s">
        <v>198</v>
      </c>
      <c r="E614" s="66">
        <v>0.0</v>
      </c>
      <c r="F614" s="66" t="s">
        <v>204</v>
      </c>
      <c r="G614" s="66">
        <f t="shared" si="11"/>
        <v>0</v>
      </c>
      <c r="H614" s="66">
        <v>25.5833</v>
      </c>
      <c r="I614" s="66">
        <v>25.8977</v>
      </c>
      <c r="J614" s="66">
        <v>25.8549</v>
      </c>
      <c r="K614" s="81">
        <f t="shared" si="2"/>
        <v>0.3144</v>
      </c>
      <c r="L614" s="81">
        <f t="shared" si="3"/>
        <v>0.2716</v>
      </c>
    </row>
    <row r="615">
      <c r="A615" s="82">
        <v>44676.0</v>
      </c>
      <c r="B615" s="82">
        <v>44676.0</v>
      </c>
      <c r="C615" s="66">
        <v>2377.0</v>
      </c>
      <c r="D615" s="66" t="s">
        <v>198</v>
      </c>
      <c r="E615" s="66">
        <v>0.0</v>
      </c>
      <c r="F615" s="66" t="s">
        <v>205</v>
      </c>
      <c r="G615" s="66">
        <f t="shared" si="11"/>
        <v>0</v>
      </c>
      <c r="H615" s="66">
        <v>15.5338</v>
      </c>
      <c r="I615" s="66">
        <v>16.3388</v>
      </c>
      <c r="J615" s="66">
        <v>15.81</v>
      </c>
      <c r="K615" s="81">
        <f t="shared" si="2"/>
        <v>0.805</v>
      </c>
      <c r="L615" s="81">
        <f t="shared" si="3"/>
        <v>0.2762</v>
      </c>
    </row>
    <row r="616">
      <c r="A616" s="82">
        <v>44676.0</v>
      </c>
      <c r="B616" s="82">
        <v>44676.0</v>
      </c>
      <c r="C616" s="66">
        <v>2365.0</v>
      </c>
      <c r="D616" s="66" t="s">
        <v>203</v>
      </c>
      <c r="E616" s="66">
        <v>0.0</v>
      </c>
      <c r="F616" s="66" t="s">
        <v>204</v>
      </c>
      <c r="G616" s="66">
        <f t="shared" si="11"/>
        <v>0</v>
      </c>
      <c r="H616" s="66">
        <v>26.0049</v>
      </c>
      <c r="I616" s="66">
        <v>26.494</v>
      </c>
      <c r="J616" s="66">
        <v>26.2621</v>
      </c>
      <c r="K616" s="81">
        <f t="shared" si="2"/>
        <v>0.4891</v>
      </c>
      <c r="L616" s="81">
        <f t="shared" si="3"/>
        <v>0.2572</v>
      </c>
    </row>
    <row r="617">
      <c r="A617" s="82">
        <v>44676.0</v>
      </c>
      <c r="B617" s="82">
        <v>44676.0</v>
      </c>
      <c r="C617" s="66">
        <v>2384.0</v>
      </c>
      <c r="D617" s="66" t="s">
        <v>198</v>
      </c>
      <c r="E617" s="66">
        <v>0.0</v>
      </c>
      <c r="F617" s="66" t="s">
        <v>204</v>
      </c>
      <c r="G617" s="66">
        <f t="shared" si="11"/>
        <v>0</v>
      </c>
      <c r="H617" s="66">
        <v>26.1761</v>
      </c>
      <c r="I617" s="66">
        <v>26.3079</v>
      </c>
      <c r="J617" s="66">
        <v>26.2084</v>
      </c>
      <c r="K617" s="81">
        <f t="shared" si="2"/>
        <v>0.1318</v>
      </c>
      <c r="L617" s="81">
        <f t="shared" si="3"/>
        <v>0.0323</v>
      </c>
    </row>
    <row r="618">
      <c r="A618" s="82">
        <v>44676.0</v>
      </c>
      <c r="B618" s="82">
        <v>44676.0</v>
      </c>
      <c r="C618" s="66">
        <v>2127.0</v>
      </c>
      <c r="D618" s="66" t="s">
        <v>203</v>
      </c>
      <c r="E618" s="66">
        <v>0.0</v>
      </c>
      <c r="F618" s="66" t="s">
        <v>204</v>
      </c>
      <c r="G618" s="66">
        <f t="shared" si="11"/>
        <v>0</v>
      </c>
      <c r="H618" s="66">
        <v>16.1971</v>
      </c>
      <c r="I618" s="66">
        <v>16.941</v>
      </c>
      <c r="J618" s="66">
        <v>16.525</v>
      </c>
      <c r="K618" s="81">
        <f t="shared" si="2"/>
        <v>0.7439</v>
      </c>
      <c r="L618" s="81">
        <f t="shared" si="3"/>
        <v>0.3279</v>
      </c>
    </row>
    <row r="619">
      <c r="A619" s="82">
        <v>44676.0</v>
      </c>
      <c r="B619" s="82">
        <v>44676.0</v>
      </c>
      <c r="C619" s="66">
        <v>2347.0</v>
      </c>
      <c r="D619" s="66" t="s">
        <v>198</v>
      </c>
      <c r="E619" s="66">
        <v>0.0</v>
      </c>
      <c r="F619" s="66" t="s">
        <v>204</v>
      </c>
      <c r="G619" s="66">
        <f t="shared" si="11"/>
        <v>0</v>
      </c>
      <c r="H619" s="66">
        <v>25.6617</v>
      </c>
      <c r="I619" s="66">
        <v>25.874</v>
      </c>
      <c r="J619" s="66">
        <v>25.734</v>
      </c>
      <c r="K619" s="81">
        <f t="shared" si="2"/>
        <v>0.2123</v>
      </c>
      <c r="L619" s="81">
        <f t="shared" si="3"/>
        <v>0.0723</v>
      </c>
    </row>
    <row r="620">
      <c r="A620" s="82">
        <v>44676.0</v>
      </c>
      <c r="B620" s="82">
        <v>44676.0</v>
      </c>
      <c r="C620" s="66">
        <v>2354.0</v>
      </c>
      <c r="D620" s="66" t="s">
        <v>198</v>
      </c>
      <c r="E620" s="66">
        <v>1.0</v>
      </c>
      <c r="F620" s="66" t="s">
        <v>204</v>
      </c>
      <c r="G620" s="66">
        <f t="shared" si="11"/>
        <v>0</v>
      </c>
      <c r="H620" s="66">
        <v>26.1298</v>
      </c>
      <c r="I620" s="66">
        <v>27.5801</v>
      </c>
      <c r="J620" s="66">
        <v>26.6735</v>
      </c>
      <c r="K620" s="81">
        <f t="shared" si="2"/>
        <v>1.4503</v>
      </c>
      <c r="L620" s="81">
        <f t="shared" si="3"/>
        <v>0.5437</v>
      </c>
    </row>
    <row r="621">
      <c r="A621" s="82">
        <v>44676.0</v>
      </c>
      <c r="B621" s="82">
        <v>44676.0</v>
      </c>
      <c r="C621" s="66">
        <v>2009.0</v>
      </c>
      <c r="D621" s="66" t="s">
        <v>198</v>
      </c>
      <c r="E621" s="66">
        <v>0.0</v>
      </c>
      <c r="F621" s="66" t="s">
        <v>205</v>
      </c>
      <c r="G621" s="66">
        <f t="shared" si="11"/>
        <v>0</v>
      </c>
      <c r="H621" s="66">
        <v>25.4085</v>
      </c>
      <c r="I621" s="66">
        <v>28.8169</v>
      </c>
      <c r="J621" s="66">
        <v>27.1914</v>
      </c>
      <c r="K621" s="81">
        <f t="shared" si="2"/>
        <v>3.4084</v>
      </c>
      <c r="L621" s="81">
        <f t="shared" si="3"/>
        <v>1.7829</v>
      </c>
    </row>
    <row r="622">
      <c r="A622" s="82">
        <v>44676.0</v>
      </c>
      <c r="B622" s="82">
        <v>44676.0</v>
      </c>
      <c r="C622" s="66">
        <v>2383.0</v>
      </c>
      <c r="D622" s="66" t="s">
        <v>198</v>
      </c>
      <c r="E622" s="66">
        <v>0.0</v>
      </c>
      <c r="F622" s="66" t="s">
        <v>205</v>
      </c>
      <c r="G622" s="66">
        <f t="shared" si="11"/>
        <v>0</v>
      </c>
      <c r="H622" s="66">
        <v>26.5079</v>
      </c>
      <c r="I622" s="66">
        <v>29.6691</v>
      </c>
      <c r="J622" s="66">
        <v>28.2179</v>
      </c>
      <c r="K622" s="81">
        <f t="shared" si="2"/>
        <v>3.1612</v>
      </c>
      <c r="L622" s="81">
        <f t="shared" si="3"/>
        <v>1.71</v>
      </c>
    </row>
    <row r="623">
      <c r="A623" s="82">
        <v>44676.0</v>
      </c>
      <c r="B623" s="82">
        <v>44676.0</v>
      </c>
      <c r="C623" s="66">
        <v>2377.0</v>
      </c>
      <c r="D623" s="66" t="s">
        <v>198</v>
      </c>
      <c r="E623" s="66">
        <v>1.0</v>
      </c>
      <c r="F623" s="66" t="s">
        <v>205</v>
      </c>
      <c r="G623" s="66">
        <f t="shared" si="11"/>
        <v>0</v>
      </c>
      <c r="H623" s="66">
        <v>25.8228</v>
      </c>
      <c r="I623" s="66">
        <v>29.4721</v>
      </c>
      <c r="J623" s="66">
        <v>28.2433</v>
      </c>
      <c r="K623" s="81">
        <f t="shared" si="2"/>
        <v>3.6493</v>
      </c>
      <c r="L623" s="81">
        <f t="shared" si="3"/>
        <v>2.4205</v>
      </c>
    </row>
    <row r="624">
      <c r="A624" s="82">
        <v>44676.0</v>
      </c>
      <c r="B624" s="82">
        <v>44676.0</v>
      </c>
      <c r="C624" s="66">
        <v>2360.0</v>
      </c>
      <c r="D624" s="66" t="s">
        <v>198</v>
      </c>
      <c r="E624" s="66">
        <v>0.0</v>
      </c>
      <c r="F624" s="66" t="s">
        <v>205</v>
      </c>
      <c r="G624" s="66">
        <f t="shared" si="11"/>
        <v>0</v>
      </c>
      <c r="H624" s="66">
        <v>26.1549</v>
      </c>
      <c r="I624" s="66">
        <v>28.519</v>
      </c>
      <c r="J624" s="66">
        <v>27.5272</v>
      </c>
      <c r="K624" s="81">
        <f t="shared" si="2"/>
        <v>2.3641</v>
      </c>
      <c r="L624" s="81">
        <f t="shared" si="3"/>
        <v>1.3723</v>
      </c>
    </row>
    <row r="625">
      <c r="A625" s="82">
        <v>44676.0</v>
      </c>
      <c r="B625" s="82">
        <v>44676.0</v>
      </c>
      <c r="C625" s="66">
        <v>2345.0</v>
      </c>
      <c r="D625" s="66" t="s">
        <v>198</v>
      </c>
      <c r="E625" s="66">
        <v>1.0</v>
      </c>
      <c r="F625" s="66" t="s">
        <v>204</v>
      </c>
      <c r="G625" s="66">
        <f t="shared" si="11"/>
        <v>0</v>
      </c>
      <c r="H625" s="66">
        <v>25.8338</v>
      </c>
      <c r="I625" s="66">
        <v>27.3803</v>
      </c>
      <c r="J625" s="66">
        <v>26.6989</v>
      </c>
      <c r="K625" s="81">
        <f t="shared" si="2"/>
        <v>1.5465</v>
      </c>
      <c r="L625" s="81">
        <f t="shared" si="3"/>
        <v>0.8651</v>
      </c>
    </row>
    <row r="626">
      <c r="A626" s="82">
        <v>44676.0</v>
      </c>
      <c r="B626" s="82">
        <v>44676.0</v>
      </c>
      <c r="C626" s="66">
        <v>2380.0</v>
      </c>
      <c r="D626" s="66" t="s">
        <v>198</v>
      </c>
      <c r="E626" s="66">
        <v>1.0</v>
      </c>
      <c r="F626" s="66" t="s">
        <v>205</v>
      </c>
      <c r="G626" s="66">
        <f t="shared" si="11"/>
        <v>0</v>
      </c>
      <c r="H626" s="66">
        <v>26.0587</v>
      </c>
      <c r="I626" s="66">
        <v>29.7288</v>
      </c>
      <c r="J626" s="66">
        <v>28.518</v>
      </c>
      <c r="K626" s="81">
        <f t="shared" si="2"/>
        <v>3.6701</v>
      </c>
      <c r="L626" s="81">
        <f t="shared" si="3"/>
        <v>2.4593</v>
      </c>
    </row>
    <row r="627">
      <c r="A627" s="82">
        <v>44676.0</v>
      </c>
      <c r="B627" s="82">
        <v>44676.0</v>
      </c>
      <c r="C627" s="66">
        <v>2009.0</v>
      </c>
      <c r="D627" s="66" t="s">
        <v>203</v>
      </c>
      <c r="E627" s="66">
        <v>0.0</v>
      </c>
      <c r="F627" s="66" t="s">
        <v>204</v>
      </c>
      <c r="G627" s="66">
        <f t="shared" si="11"/>
        <v>0</v>
      </c>
      <c r="H627" s="66">
        <v>25.33</v>
      </c>
      <c r="I627" s="66">
        <v>26.404</v>
      </c>
      <c r="J627" s="66">
        <v>25.621</v>
      </c>
      <c r="K627" s="81">
        <f t="shared" si="2"/>
        <v>1.074</v>
      </c>
      <c r="L627" s="81">
        <f t="shared" si="3"/>
        <v>0.291</v>
      </c>
    </row>
    <row r="628">
      <c r="A628" s="82">
        <v>44676.0</v>
      </c>
      <c r="B628" s="82">
        <v>44676.0</v>
      </c>
      <c r="C628" s="66">
        <v>2372.0</v>
      </c>
      <c r="D628" s="66" t="s">
        <v>203</v>
      </c>
      <c r="E628" s="66">
        <v>0.0</v>
      </c>
      <c r="F628" s="66" t="s">
        <v>204</v>
      </c>
      <c r="G628" s="66">
        <f t="shared" si="11"/>
        <v>0</v>
      </c>
      <c r="H628" s="66">
        <v>15.2101</v>
      </c>
      <c r="I628" s="66">
        <v>15.848</v>
      </c>
      <c r="J628" s="66">
        <v>15.481</v>
      </c>
      <c r="K628" s="81">
        <f t="shared" si="2"/>
        <v>0.6379</v>
      </c>
      <c r="L628" s="81">
        <f t="shared" si="3"/>
        <v>0.2709</v>
      </c>
    </row>
    <row r="629">
      <c r="A629" s="82">
        <v>44676.0</v>
      </c>
      <c r="B629" s="82">
        <v>44676.0</v>
      </c>
      <c r="C629" s="66">
        <v>2010.0</v>
      </c>
      <c r="D629" s="66" t="s">
        <v>203</v>
      </c>
      <c r="E629" s="66">
        <v>1.0</v>
      </c>
      <c r="F629" s="66" t="s">
        <v>204</v>
      </c>
      <c r="G629" s="66">
        <f t="shared" si="11"/>
        <v>0</v>
      </c>
      <c r="H629" s="66">
        <v>15.2566</v>
      </c>
      <c r="I629" s="66">
        <v>16.745</v>
      </c>
      <c r="J629" s="66">
        <v>16.001</v>
      </c>
      <c r="K629" s="81">
        <f t="shared" si="2"/>
        <v>1.4884</v>
      </c>
      <c r="L629" s="81">
        <f t="shared" si="3"/>
        <v>0.7444</v>
      </c>
    </row>
    <row r="630">
      <c r="A630" s="82">
        <v>44676.0</v>
      </c>
      <c r="B630" s="82">
        <v>44676.0</v>
      </c>
      <c r="C630" s="66">
        <v>2384.0</v>
      </c>
      <c r="D630" s="66" t="s">
        <v>203</v>
      </c>
      <c r="E630" s="66">
        <v>1.0</v>
      </c>
      <c r="F630" s="66" t="s">
        <v>204</v>
      </c>
      <c r="G630" s="66">
        <f t="shared" si="11"/>
        <v>0</v>
      </c>
      <c r="H630" s="66">
        <v>26.3178</v>
      </c>
      <c r="I630" s="66">
        <v>27.204</v>
      </c>
      <c r="J630" s="66">
        <v>26.7928</v>
      </c>
      <c r="K630" s="81">
        <f t="shared" si="2"/>
        <v>0.8862</v>
      </c>
      <c r="L630" s="81">
        <f t="shared" si="3"/>
        <v>0.475</v>
      </c>
    </row>
    <row r="631">
      <c r="A631" s="82">
        <v>44676.0</v>
      </c>
      <c r="B631" s="82">
        <v>44676.0</v>
      </c>
      <c r="C631" s="66">
        <v>2377.0</v>
      </c>
      <c r="D631" s="66" t="s">
        <v>198</v>
      </c>
      <c r="E631" s="66">
        <v>0.0</v>
      </c>
      <c r="F631" s="66" t="s">
        <v>204</v>
      </c>
      <c r="G631" s="66">
        <f t="shared" si="11"/>
        <v>0</v>
      </c>
      <c r="H631" s="66">
        <v>15.2914</v>
      </c>
      <c r="I631" s="66">
        <v>15.5206</v>
      </c>
      <c r="J631" s="66">
        <v>15.3134</v>
      </c>
      <c r="K631" s="81">
        <f t="shared" si="2"/>
        <v>0.2292</v>
      </c>
      <c r="L631" s="81">
        <f t="shared" si="3"/>
        <v>0.022</v>
      </c>
    </row>
    <row r="632">
      <c r="A632" s="82">
        <v>44676.0</v>
      </c>
      <c r="B632" s="82">
        <v>44676.0</v>
      </c>
      <c r="C632" s="66">
        <v>2352.0</v>
      </c>
      <c r="D632" s="66" t="s">
        <v>198</v>
      </c>
      <c r="E632" s="66">
        <v>0.0</v>
      </c>
      <c r="F632" s="66" t="s">
        <v>205</v>
      </c>
      <c r="G632" s="66">
        <f t="shared" si="11"/>
        <v>0</v>
      </c>
      <c r="H632" s="66">
        <v>15.5124</v>
      </c>
      <c r="I632" s="66">
        <v>16.1976</v>
      </c>
      <c r="J632" s="66">
        <v>15.8469</v>
      </c>
      <c r="K632" s="81">
        <f t="shared" si="2"/>
        <v>0.6852</v>
      </c>
      <c r="L632" s="81">
        <f t="shared" si="3"/>
        <v>0.3345</v>
      </c>
    </row>
    <row r="633">
      <c r="A633" s="82">
        <v>44676.0</v>
      </c>
      <c r="B633" s="82">
        <v>44676.0</v>
      </c>
      <c r="C633" s="66">
        <v>2384.0</v>
      </c>
      <c r="D633" s="66" t="s">
        <v>203</v>
      </c>
      <c r="E633" s="66">
        <v>0.0</v>
      </c>
      <c r="F633" s="66" t="s">
        <v>205</v>
      </c>
      <c r="G633" s="66">
        <f t="shared" si="11"/>
        <v>0</v>
      </c>
      <c r="H633" s="66">
        <v>25.5876</v>
      </c>
      <c r="I633" s="66">
        <v>29.563</v>
      </c>
      <c r="J633" s="66">
        <v>27.3833</v>
      </c>
      <c r="K633" s="81">
        <f t="shared" si="2"/>
        <v>3.9754</v>
      </c>
      <c r="L633" s="81">
        <f t="shared" si="3"/>
        <v>1.7957</v>
      </c>
    </row>
    <row r="634">
      <c r="A634" s="82">
        <v>44676.0</v>
      </c>
      <c r="B634" s="82">
        <v>44676.0</v>
      </c>
      <c r="C634" s="66">
        <v>2009.0</v>
      </c>
      <c r="D634" s="66" t="s">
        <v>203</v>
      </c>
      <c r="E634" s="66">
        <v>0.0</v>
      </c>
      <c r="F634" s="66" t="s">
        <v>205</v>
      </c>
      <c r="G634" s="66">
        <f t="shared" si="11"/>
        <v>0</v>
      </c>
      <c r="H634" s="66">
        <v>25.8527</v>
      </c>
      <c r="I634" s="66">
        <v>32.053</v>
      </c>
      <c r="J634" s="66">
        <v>28.713</v>
      </c>
      <c r="K634" s="81">
        <f t="shared" si="2"/>
        <v>6.2003</v>
      </c>
      <c r="L634" s="81">
        <f t="shared" si="3"/>
        <v>2.8603</v>
      </c>
    </row>
    <row r="635">
      <c r="A635" s="82">
        <v>44676.0</v>
      </c>
      <c r="B635" s="82">
        <v>44676.0</v>
      </c>
      <c r="C635" s="66">
        <v>2381.0</v>
      </c>
      <c r="D635" s="66" t="s">
        <v>198</v>
      </c>
      <c r="E635" s="66">
        <v>0.0</v>
      </c>
      <c r="F635" s="66" t="s">
        <v>204</v>
      </c>
      <c r="G635" s="66">
        <f t="shared" si="11"/>
        <v>0</v>
      </c>
      <c r="H635" s="66">
        <v>26.3676</v>
      </c>
      <c r="I635" s="66">
        <v>26.5883</v>
      </c>
      <c r="J635" s="66">
        <v>26.5119</v>
      </c>
      <c r="K635" s="81">
        <f t="shared" si="2"/>
        <v>0.2207</v>
      </c>
      <c r="L635" s="81">
        <f t="shared" si="3"/>
        <v>0.1443</v>
      </c>
    </row>
    <row r="636">
      <c r="A636" s="82">
        <v>44676.0</v>
      </c>
      <c r="B636" s="82">
        <v>44676.0</v>
      </c>
      <c r="C636" s="66">
        <v>2347.0</v>
      </c>
      <c r="D636" s="66" t="s">
        <v>203</v>
      </c>
      <c r="E636" s="66">
        <v>0.0</v>
      </c>
      <c r="F636" s="66" t="s">
        <v>205</v>
      </c>
      <c r="G636" s="66">
        <f t="shared" si="11"/>
        <v>0</v>
      </c>
      <c r="H636" s="66">
        <v>25.8035</v>
      </c>
      <c r="I636" s="66">
        <v>30.846</v>
      </c>
      <c r="J636" s="66">
        <v>28.1437</v>
      </c>
      <c r="K636" s="81">
        <f t="shared" si="2"/>
        <v>5.0425</v>
      </c>
      <c r="L636" s="81">
        <f t="shared" si="3"/>
        <v>2.3402</v>
      </c>
    </row>
    <row r="637">
      <c r="A637" s="82">
        <v>44676.0</v>
      </c>
      <c r="B637" s="82">
        <v>44676.0</v>
      </c>
      <c r="C637" s="66">
        <v>2365.0</v>
      </c>
      <c r="D637" s="66" t="s">
        <v>198</v>
      </c>
      <c r="E637" s="66">
        <v>0.0</v>
      </c>
      <c r="F637" s="66" t="s">
        <v>204</v>
      </c>
      <c r="G637" s="66">
        <f t="shared" si="11"/>
        <v>0</v>
      </c>
      <c r="H637" s="66">
        <v>26.3328</v>
      </c>
      <c r="I637" s="66">
        <v>26.5936</v>
      </c>
      <c r="J637" s="66">
        <v>26.4302</v>
      </c>
      <c r="K637" s="81">
        <f t="shared" si="2"/>
        <v>0.2608</v>
      </c>
      <c r="L637" s="81">
        <f t="shared" si="3"/>
        <v>0.0974</v>
      </c>
    </row>
    <row r="638">
      <c r="A638" s="82">
        <v>44676.0</v>
      </c>
      <c r="B638" s="82">
        <v>44676.0</v>
      </c>
      <c r="C638" s="66">
        <v>2370.0</v>
      </c>
      <c r="D638" s="66" t="s">
        <v>198</v>
      </c>
      <c r="E638" s="66">
        <v>0.0</v>
      </c>
      <c r="F638" s="66" t="s">
        <v>204</v>
      </c>
      <c r="G638" s="66">
        <f t="shared" si="11"/>
        <v>0</v>
      </c>
      <c r="H638" s="66">
        <v>25.795</v>
      </c>
      <c r="I638" s="66">
        <v>26.4989</v>
      </c>
      <c r="J638" s="66">
        <v>25.8871</v>
      </c>
      <c r="K638" s="81">
        <f t="shared" si="2"/>
        <v>0.7039</v>
      </c>
      <c r="L638" s="81">
        <f t="shared" si="3"/>
        <v>0.0921</v>
      </c>
    </row>
    <row r="639">
      <c r="A639" s="82">
        <v>44676.0</v>
      </c>
      <c r="B639" s="82">
        <v>44676.0</v>
      </c>
      <c r="C639" s="66">
        <v>2376.0</v>
      </c>
      <c r="D639" s="66" t="s">
        <v>203</v>
      </c>
      <c r="E639" s="66">
        <v>1.0</v>
      </c>
      <c r="F639" s="66" t="s">
        <v>204</v>
      </c>
      <c r="G639" s="66">
        <f t="shared" si="11"/>
        <v>0</v>
      </c>
      <c r="H639" s="66">
        <v>25.6456</v>
      </c>
      <c r="I639" s="66">
        <v>26.578</v>
      </c>
      <c r="J639" s="66">
        <v>26.3334</v>
      </c>
      <c r="K639" s="81">
        <f t="shared" si="2"/>
        <v>0.9324</v>
      </c>
      <c r="L639" s="81">
        <f t="shared" si="3"/>
        <v>0.6878</v>
      </c>
    </row>
    <row r="640">
      <c r="A640" s="82">
        <v>44676.0</v>
      </c>
      <c r="B640" s="82">
        <v>44676.0</v>
      </c>
      <c r="C640" s="66">
        <v>2381.0</v>
      </c>
      <c r="D640" s="66" t="s">
        <v>203</v>
      </c>
      <c r="E640" s="66">
        <v>0.0</v>
      </c>
      <c r="F640" s="66" t="s">
        <v>204</v>
      </c>
      <c r="G640" s="66">
        <f t="shared" si="11"/>
        <v>0</v>
      </c>
      <c r="H640" s="66">
        <v>25.7724</v>
      </c>
      <c r="I640" s="66">
        <v>26.094</v>
      </c>
      <c r="J640" s="66">
        <v>25.9001</v>
      </c>
      <c r="K640" s="81">
        <f t="shared" si="2"/>
        <v>0.3216</v>
      </c>
      <c r="L640" s="81">
        <f t="shared" si="3"/>
        <v>0.1277</v>
      </c>
    </row>
    <row r="641">
      <c r="A641" s="82">
        <v>44676.0</v>
      </c>
      <c r="B641" s="82">
        <v>44676.0</v>
      </c>
      <c r="C641" s="66">
        <v>2011.0</v>
      </c>
      <c r="D641" s="66" t="s">
        <v>203</v>
      </c>
      <c r="E641" s="66">
        <v>0.0</v>
      </c>
      <c r="F641" s="66" t="s">
        <v>205</v>
      </c>
      <c r="G641" s="66">
        <f t="shared" si="11"/>
        <v>0</v>
      </c>
      <c r="H641" s="66">
        <v>25.6354</v>
      </c>
      <c r="I641" s="66">
        <v>31.425</v>
      </c>
      <c r="J641" s="66">
        <v>28.542</v>
      </c>
      <c r="K641" s="81">
        <f t="shared" si="2"/>
        <v>5.7896</v>
      </c>
      <c r="L641" s="81">
        <f t="shared" si="3"/>
        <v>2.9066</v>
      </c>
    </row>
    <row r="642">
      <c r="A642" s="82">
        <v>44676.0</v>
      </c>
      <c r="B642" s="82">
        <v>44676.0</v>
      </c>
      <c r="C642" s="66">
        <v>2377.0</v>
      </c>
      <c r="D642" s="66" t="s">
        <v>203</v>
      </c>
      <c r="E642" s="66">
        <v>1.0</v>
      </c>
      <c r="F642" s="66" t="s">
        <v>205</v>
      </c>
      <c r="G642" s="66">
        <f t="shared" si="11"/>
        <v>0</v>
      </c>
      <c r="H642" s="66">
        <v>26.2422</v>
      </c>
      <c r="I642" s="66">
        <v>27.308</v>
      </c>
      <c r="J642" s="66">
        <v>27.0588</v>
      </c>
      <c r="K642" s="81">
        <f t="shared" si="2"/>
        <v>1.0658</v>
      </c>
      <c r="L642" s="81">
        <f t="shared" si="3"/>
        <v>0.8166</v>
      </c>
    </row>
    <row r="643">
      <c r="A643" s="82">
        <v>44676.0</v>
      </c>
      <c r="B643" s="82">
        <v>44676.0</v>
      </c>
      <c r="C643" s="66">
        <v>2382.0</v>
      </c>
      <c r="D643" s="66" t="s">
        <v>198</v>
      </c>
      <c r="E643" s="66">
        <v>0.0</v>
      </c>
      <c r="F643" s="66" t="s">
        <v>205</v>
      </c>
      <c r="G643" s="66">
        <f t="shared" si="11"/>
        <v>0</v>
      </c>
      <c r="H643" s="66">
        <v>25.832</v>
      </c>
      <c r="I643" s="66">
        <v>29.9526</v>
      </c>
      <c r="J643" s="66">
        <v>28.0282</v>
      </c>
      <c r="K643" s="81">
        <f t="shared" si="2"/>
        <v>4.1206</v>
      </c>
      <c r="L643" s="81">
        <f t="shared" si="3"/>
        <v>2.1962</v>
      </c>
    </row>
    <row r="644">
      <c r="A644" s="82">
        <v>44676.0</v>
      </c>
      <c r="B644" s="82">
        <v>44676.0</v>
      </c>
      <c r="C644" s="66">
        <v>2372.0</v>
      </c>
      <c r="D644" s="66" t="s">
        <v>198</v>
      </c>
      <c r="E644" s="66">
        <v>0.0</v>
      </c>
      <c r="F644" s="66" t="s">
        <v>205</v>
      </c>
      <c r="G644" s="66">
        <f t="shared" si="11"/>
        <v>0</v>
      </c>
      <c r="H644" s="66">
        <v>26.1799</v>
      </c>
      <c r="I644" s="66">
        <v>29.9549</v>
      </c>
      <c r="J644" s="66">
        <v>28.0887</v>
      </c>
      <c r="K644" s="81">
        <f t="shared" si="2"/>
        <v>3.775</v>
      </c>
      <c r="L644" s="81">
        <f t="shared" si="3"/>
        <v>1.9088</v>
      </c>
    </row>
    <row r="645">
      <c r="A645" s="82">
        <v>44676.0</v>
      </c>
      <c r="B645" s="82">
        <v>44676.0</v>
      </c>
      <c r="C645" s="66">
        <v>2010.0</v>
      </c>
      <c r="D645" s="66" t="s">
        <v>198</v>
      </c>
      <c r="E645" s="66">
        <v>0.0</v>
      </c>
      <c r="F645" s="66" t="s">
        <v>204</v>
      </c>
      <c r="G645" s="66">
        <f t="shared" si="11"/>
        <v>0</v>
      </c>
      <c r="H645" s="66">
        <v>26.0773</v>
      </c>
      <c r="I645" s="66">
        <v>26.9042</v>
      </c>
      <c r="J645" s="66">
        <v>26.2425</v>
      </c>
      <c r="K645" s="81">
        <f t="shared" si="2"/>
        <v>0.8269</v>
      </c>
      <c r="L645" s="81">
        <f t="shared" si="3"/>
        <v>0.1652</v>
      </c>
    </row>
    <row r="646">
      <c r="A646" s="82">
        <v>44676.0</v>
      </c>
      <c r="B646" s="82">
        <v>44676.0</v>
      </c>
      <c r="C646" s="66">
        <v>2354.0</v>
      </c>
      <c r="D646" s="66" t="s">
        <v>203</v>
      </c>
      <c r="E646" s="66">
        <v>0.0</v>
      </c>
      <c r="F646" s="66" t="s">
        <v>205</v>
      </c>
      <c r="G646" s="66">
        <f t="shared" si="11"/>
        <v>0</v>
      </c>
      <c r="H646" s="66">
        <v>25.7881</v>
      </c>
      <c r="I646" s="66">
        <v>27.56</v>
      </c>
      <c r="J646" s="66">
        <v>26.4517</v>
      </c>
      <c r="K646" s="81">
        <f t="shared" si="2"/>
        <v>1.7719</v>
      </c>
      <c r="L646" s="81">
        <f t="shared" si="3"/>
        <v>0.6636</v>
      </c>
    </row>
    <row r="647">
      <c r="A647" s="82">
        <v>44676.0</v>
      </c>
      <c r="B647" s="82">
        <v>44676.0</v>
      </c>
      <c r="C647" s="66">
        <v>2343.0</v>
      </c>
      <c r="D647" s="66" t="s">
        <v>198</v>
      </c>
      <c r="E647" s="66">
        <v>0.0</v>
      </c>
      <c r="F647" s="66" t="s">
        <v>205</v>
      </c>
      <c r="G647" s="66">
        <f t="shared" si="11"/>
        <v>0</v>
      </c>
      <c r="H647" s="66">
        <v>26.3342</v>
      </c>
      <c r="I647" s="66">
        <v>29.5026</v>
      </c>
      <c r="J647" s="66">
        <v>27.9027</v>
      </c>
      <c r="K647" s="81">
        <f t="shared" si="2"/>
        <v>3.1684</v>
      </c>
      <c r="L647" s="81">
        <f t="shared" si="3"/>
        <v>1.5685</v>
      </c>
    </row>
    <row r="648">
      <c r="A648" s="82">
        <v>44676.0</v>
      </c>
      <c r="B648" s="82">
        <v>44676.0</v>
      </c>
      <c r="C648" s="66">
        <v>2331.0</v>
      </c>
      <c r="D648" s="66" t="s">
        <v>198</v>
      </c>
      <c r="E648" s="66">
        <v>1.0</v>
      </c>
      <c r="F648" s="66" t="s">
        <v>204</v>
      </c>
      <c r="G648" s="66">
        <f t="shared" si="11"/>
        <v>0</v>
      </c>
      <c r="H648" s="66">
        <v>25.8709</v>
      </c>
      <c r="I648" s="66">
        <v>27.4042</v>
      </c>
      <c r="J648" s="66">
        <v>26.779</v>
      </c>
      <c r="K648" s="81">
        <f t="shared" si="2"/>
        <v>1.5333</v>
      </c>
      <c r="L648" s="81">
        <f t="shared" si="3"/>
        <v>0.9081</v>
      </c>
    </row>
    <row r="649">
      <c r="A649" s="82">
        <v>44676.0</v>
      </c>
      <c r="B649" s="82">
        <v>44676.0</v>
      </c>
      <c r="C649" s="66">
        <v>2384.0</v>
      </c>
      <c r="D649" s="66" t="s">
        <v>198</v>
      </c>
      <c r="E649" s="66">
        <v>0.0</v>
      </c>
      <c r="F649" s="66" t="s">
        <v>205</v>
      </c>
      <c r="G649" s="66">
        <f t="shared" si="11"/>
        <v>0</v>
      </c>
      <c r="H649" s="66">
        <v>25.8468</v>
      </c>
      <c r="I649" s="66">
        <v>27.9914</v>
      </c>
      <c r="J649" s="66">
        <v>26.9561</v>
      </c>
      <c r="K649" s="81">
        <f t="shared" si="2"/>
        <v>2.1446</v>
      </c>
      <c r="L649" s="81">
        <f t="shared" si="3"/>
        <v>1.1093</v>
      </c>
    </row>
    <row r="650">
      <c r="A650" s="82">
        <v>44676.0</v>
      </c>
      <c r="B650" s="82">
        <v>44676.0</v>
      </c>
      <c r="C650" s="66">
        <v>2346.0</v>
      </c>
      <c r="D650" s="66" t="s">
        <v>198</v>
      </c>
      <c r="E650" s="66">
        <v>0.0</v>
      </c>
      <c r="F650" s="66" t="s">
        <v>205</v>
      </c>
      <c r="G650" s="66">
        <f t="shared" si="11"/>
        <v>0</v>
      </c>
      <c r="H650" s="66">
        <v>25.4767</v>
      </c>
      <c r="I650" s="66">
        <v>27.2905</v>
      </c>
      <c r="J650" s="66">
        <v>26.377</v>
      </c>
      <c r="K650" s="81">
        <f t="shared" si="2"/>
        <v>1.8138</v>
      </c>
      <c r="L650" s="81">
        <f t="shared" si="3"/>
        <v>0.9003</v>
      </c>
    </row>
    <row r="651">
      <c r="A651" s="82">
        <v>44676.0</v>
      </c>
      <c r="B651" s="82">
        <v>44676.0</v>
      </c>
      <c r="C651" s="66">
        <v>2377.0</v>
      </c>
      <c r="D651" s="66" t="s">
        <v>203</v>
      </c>
      <c r="E651" s="66">
        <v>0.0</v>
      </c>
      <c r="F651" s="66" t="s">
        <v>204</v>
      </c>
      <c r="G651" s="66">
        <f t="shared" si="11"/>
        <v>0</v>
      </c>
      <c r="H651" s="66">
        <v>15.6279</v>
      </c>
      <c r="I651" s="66">
        <v>15.833</v>
      </c>
      <c r="J651" s="66">
        <v>15.6855</v>
      </c>
      <c r="K651" s="81">
        <f t="shared" si="2"/>
        <v>0.2051</v>
      </c>
      <c r="L651" s="81">
        <f t="shared" si="3"/>
        <v>0.0576</v>
      </c>
    </row>
    <row r="652">
      <c r="A652" s="82">
        <v>44676.0</v>
      </c>
      <c r="B652" s="82">
        <v>44676.0</v>
      </c>
      <c r="C652" s="66">
        <v>2371.0</v>
      </c>
      <c r="D652" s="66" t="s">
        <v>198</v>
      </c>
      <c r="E652" s="66">
        <v>0.0</v>
      </c>
      <c r="F652" s="66" t="s">
        <v>205</v>
      </c>
      <c r="G652" s="66">
        <f t="shared" si="11"/>
        <v>0</v>
      </c>
      <c r="H652" s="66">
        <v>25.4211</v>
      </c>
      <c r="I652" s="66">
        <v>30.8958</v>
      </c>
      <c r="J652" s="66">
        <v>27.883</v>
      </c>
      <c r="K652" s="81">
        <f t="shared" si="2"/>
        <v>5.4747</v>
      </c>
      <c r="L652" s="81">
        <f t="shared" si="3"/>
        <v>2.4619</v>
      </c>
    </row>
    <row r="653">
      <c r="A653" s="82">
        <v>44676.0</v>
      </c>
      <c r="B653" s="82">
        <v>44676.0</v>
      </c>
      <c r="C653" s="66">
        <v>2345.0</v>
      </c>
      <c r="D653" s="66" t="s">
        <v>203</v>
      </c>
      <c r="E653" s="66">
        <v>1.0</v>
      </c>
      <c r="F653" s="66" t="s">
        <v>205</v>
      </c>
      <c r="G653" s="66">
        <f t="shared" si="11"/>
        <v>0</v>
      </c>
      <c r="H653" s="66">
        <v>26.0445</v>
      </c>
      <c r="I653" s="66">
        <v>32.447</v>
      </c>
      <c r="J653" s="66">
        <v>29.4649</v>
      </c>
      <c r="K653" s="81">
        <f t="shared" si="2"/>
        <v>6.4025</v>
      </c>
      <c r="L653" s="81">
        <f t="shared" si="3"/>
        <v>3.4204</v>
      </c>
    </row>
    <row r="654">
      <c r="A654" s="82">
        <v>44676.0</v>
      </c>
      <c r="B654" s="82">
        <v>44676.0</v>
      </c>
      <c r="C654" s="66">
        <v>2354.0</v>
      </c>
      <c r="D654" s="66" t="s">
        <v>203</v>
      </c>
      <c r="E654" s="66">
        <v>1.0</v>
      </c>
      <c r="F654" s="66" t="s">
        <v>204</v>
      </c>
      <c r="G654" s="66">
        <f t="shared" si="11"/>
        <v>0</v>
      </c>
      <c r="H654" s="66">
        <v>25.7384</v>
      </c>
      <c r="I654" s="66">
        <v>27.127</v>
      </c>
      <c r="J654" s="66">
        <v>26.303</v>
      </c>
      <c r="K654" s="81">
        <f t="shared" si="2"/>
        <v>1.3886</v>
      </c>
      <c r="L654" s="81">
        <f t="shared" si="3"/>
        <v>0.5646</v>
      </c>
    </row>
    <row r="655">
      <c r="A655" s="82">
        <v>44676.0</v>
      </c>
      <c r="B655" s="82">
        <v>44676.0</v>
      </c>
      <c r="C655" s="66">
        <v>2370.0</v>
      </c>
      <c r="D655" s="66" t="s">
        <v>203</v>
      </c>
      <c r="E655" s="66">
        <v>0.0</v>
      </c>
      <c r="F655" s="66" t="s">
        <v>205</v>
      </c>
      <c r="G655" s="66">
        <f t="shared" si="11"/>
        <v>0</v>
      </c>
      <c r="H655" s="66">
        <v>25.7811</v>
      </c>
      <c r="I655" s="66">
        <v>29.419</v>
      </c>
      <c r="J655" s="66">
        <v>27.5388</v>
      </c>
      <c r="K655" s="81">
        <f t="shared" si="2"/>
        <v>3.6379</v>
      </c>
      <c r="L655" s="81">
        <f t="shared" si="3"/>
        <v>1.7577</v>
      </c>
    </row>
    <row r="656">
      <c r="A656" s="82">
        <v>44676.0</v>
      </c>
      <c r="B656" s="82">
        <v>44676.0</v>
      </c>
      <c r="C656" s="66">
        <v>2383.0</v>
      </c>
      <c r="D656" s="66" t="s">
        <v>198</v>
      </c>
      <c r="E656" s="66">
        <v>0.0</v>
      </c>
      <c r="F656" s="66" t="s">
        <v>204</v>
      </c>
      <c r="G656" s="66">
        <f t="shared" si="11"/>
        <v>0</v>
      </c>
      <c r="H656" s="66">
        <v>26.1622</v>
      </c>
      <c r="I656" s="66">
        <v>26.3895</v>
      </c>
      <c r="J656" s="66">
        <v>26.316</v>
      </c>
      <c r="K656" s="81">
        <f t="shared" si="2"/>
        <v>0.2273</v>
      </c>
      <c r="L656" s="81">
        <f t="shared" si="3"/>
        <v>0.1538</v>
      </c>
    </row>
    <row r="657">
      <c r="A657" s="82">
        <v>44676.0</v>
      </c>
      <c r="B657" s="82">
        <v>44676.0</v>
      </c>
      <c r="C657" s="66">
        <v>2380.0</v>
      </c>
      <c r="D657" s="66" t="s">
        <v>198</v>
      </c>
      <c r="E657" s="66">
        <v>1.0</v>
      </c>
      <c r="F657" s="66" t="s">
        <v>204</v>
      </c>
      <c r="G657" s="66">
        <f t="shared" si="11"/>
        <v>0</v>
      </c>
      <c r="H657" s="66">
        <v>25.6205</v>
      </c>
      <c r="I657" s="66">
        <v>26.8835</v>
      </c>
      <c r="J657" s="66">
        <v>26.1088</v>
      </c>
      <c r="K657" s="81">
        <f t="shared" si="2"/>
        <v>1.263</v>
      </c>
      <c r="L657" s="81">
        <f t="shared" si="3"/>
        <v>0.4883</v>
      </c>
    </row>
    <row r="658">
      <c r="A658" s="82">
        <v>44676.0</v>
      </c>
      <c r="B658" s="82">
        <v>44676.0</v>
      </c>
      <c r="C658" s="66">
        <v>2354.0</v>
      </c>
      <c r="D658" s="66" t="s">
        <v>203</v>
      </c>
      <c r="E658" s="66">
        <v>1.0</v>
      </c>
      <c r="F658" s="66" t="s">
        <v>205</v>
      </c>
      <c r="G658" s="66">
        <f t="shared" si="11"/>
        <v>0</v>
      </c>
      <c r="H658" s="66">
        <v>26.0661</v>
      </c>
      <c r="I658" s="66">
        <v>31.693</v>
      </c>
      <c r="J658" s="66">
        <v>29.3903</v>
      </c>
      <c r="K658" s="81">
        <f t="shared" si="2"/>
        <v>5.6269</v>
      </c>
      <c r="L658" s="81">
        <f t="shared" si="3"/>
        <v>3.3242</v>
      </c>
    </row>
    <row r="659">
      <c r="A659" s="82">
        <v>44676.0</v>
      </c>
      <c r="B659" s="82">
        <v>44676.0</v>
      </c>
      <c r="C659" s="66">
        <v>2369.0</v>
      </c>
      <c r="D659" s="66" t="s">
        <v>198</v>
      </c>
      <c r="E659" s="66">
        <v>0.0</v>
      </c>
      <c r="F659" s="66" t="s">
        <v>204</v>
      </c>
      <c r="G659" s="66">
        <f t="shared" si="11"/>
        <v>0</v>
      </c>
      <c r="H659" s="66">
        <v>25.8116</v>
      </c>
      <c r="I659" s="66">
        <v>26.3078</v>
      </c>
      <c r="J659" s="66">
        <v>25.83</v>
      </c>
      <c r="K659" s="81">
        <f t="shared" si="2"/>
        <v>0.4962</v>
      </c>
      <c r="L659" s="81">
        <f t="shared" si="3"/>
        <v>0.0184</v>
      </c>
    </row>
    <row r="660">
      <c r="A660" s="82">
        <v>44676.0</v>
      </c>
      <c r="B660" s="82">
        <v>44676.0</v>
      </c>
      <c r="C660" s="66">
        <v>2371.0</v>
      </c>
      <c r="D660" s="66" t="s">
        <v>203</v>
      </c>
      <c r="E660" s="66">
        <v>0.0</v>
      </c>
      <c r="F660" s="66" t="s">
        <v>204</v>
      </c>
      <c r="G660" s="66">
        <f t="shared" si="11"/>
        <v>0</v>
      </c>
      <c r="H660" s="66">
        <v>25.9468</v>
      </c>
      <c r="I660" s="66">
        <v>26.812</v>
      </c>
      <c r="J660" s="66">
        <v>26.3522</v>
      </c>
      <c r="K660" s="81">
        <f t="shared" si="2"/>
        <v>0.8652</v>
      </c>
      <c r="L660" s="81">
        <f t="shared" si="3"/>
        <v>0.4054</v>
      </c>
    </row>
    <row r="661">
      <c r="A661" s="82">
        <v>44676.0</v>
      </c>
      <c r="B661" s="82">
        <v>44676.0</v>
      </c>
      <c r="C661" s="66">
        <v>2375.0</v>
      </c>
      <c r="D661" s="66" t="s">
        <v>203</v>
      </c>
      <c r="E661" s="66">
        <v>0.0</v>
      </c>
      <c r="F661" s="66" t="s">
        <v>204</v>
      </c>
      <c r="G661" s="66">
        <f t="shared" si="11"/>
        <v>0</v>
      </c>
      <c r="H661" s="66">
        <v>26.3548</v>
      </c>
      <c r="I661" s="66">
        <v>26.93</v>
      </c>
      <c r="J661" s="66">
        <v>26.5969</v>
      </c>
      <c r="K661" s="81">
        <f t="shared" si="2"/>
        <v>0.5752</v>
      </c>
      <c r="L661" s="81">
        <f t="shared" si="3"/>
        <v>0.2421</v>
      </c>
    </row>
    <row r="662">
      <c r="A662" s="82">
        <v>44676.0</v>
      </c>
      <c r="B662" s="82">
        <v>44676.0</v>
      </c>
      <c r="C662" s="66">
        <v>2010.0</v>
      </c>
      <c r="D662" s="66" t="s">
        <v>198</v>
      </c>
      <c r="E662" s="66">
        <v>0.0</v>
      </c>
      <c r="F662" s="66" t="s">
        <v>205</v>
      </c>
      <c r="G662" s="66">
        <f t="shared" si="11"/>
        <v>0</v>
      </c>
      <c r="H662" s="66">
        <v>25.4832</v>
      </c>
      <c r="I662" s="66">
        <v>29.0357</v>
      </c>
      <c r="J662" s="66">
        <v>27.0392</v>
      </c>
      <c r="K662" s="81">
        <f t="shared" si="2"/>
        <v>3.5525</v>
      </c>
      <c r="L662" s="81">
        <f t="shared" si="3"/>
        <v>1.556</v>
      </c>
    </row>
    <row r="663">
      <c r="A663" s="82">
        <v>44676.0</v>
      </c>
      <c r="B663" s="82">
        <v>44676.0</v>
      </c>
      <c r="C663" s="66">
        <v>2346.0</v>
      </c>
      <c r="D663" s="66" t="s">
        <v>203</v>
      </c>
      <c r="E663" s="66">
        <v>0.0</v>
      </c>
      <c r="F663" s="66" t="s">
        <v>205</v>
      </c>
      <c r="G663" s="66">
        <f t="shared" si="11"/>
        <v>0</v>
      </c>
      <c r="H663" s="66">
        <v>26.4029</v>
      </c>
      <c r="I663" s="66">
        <v>29.553</v>
      </c>
      <c r="J663" s="66">
        <v>28.0056</v>
      </c>
      <c r="K663" s="81">
        <f t="shared" si="2"/>
        <v>3.1501</v>
      </c>
      <c r="L663" s="81">
        <f t="shared" si="3"/>
        <v>1.6027</v>
      </c>
    </row>
    <row r="664">
      <c r="A664" s="82">
        <v>44676.0</v>
      </c>
      <c r="B664" s="82">
        <v>44676.0</v>
      </c>
      <c r="C664" s="66">
        <v>2370.0</v>
      </c>
      <c r="D664" s="66" t="s">
        <v>203</v>
      </c>
      <c r="E664" s="66">
        <v>0.0</v>
      </c>
      <c r="F664" s="66" t="s">
        <v>204</v>
      </c>
      <c r="G664" s="66">
        <f t="shared" si="11"/>
        <v>0</v>
      </c>
      <c r="H664" s="66">
        <v>25.7559</v>
      </c>
      <c r="I664" s="66">
        <v>26.412</v>
      </c>
      <c r="J664" s="66">
        <v>25.8712</v>
      </c>
      <c r="K664" s="81">
        <f t="shared" si="2"/>
        <v>0.6561</v>
      </c>
      <c r="L664" s="81">
        <f t="shared" si="3"/>
        <v>0.1153</v>
      </c>
    </row>
    <row r="665">
      <c r="A665" s="82">
        <v>44676.0</v>
      </c>
      <c r="B665" s="82">
        <v>44676.0</v>
      </c>
      <c r="C665" s="66">
        <v>2347.0</v>
      </c>
      <c r="D665" s="66" t="s">
        <v>203</v>
      </c>
      <c r="E665" s="66">
        <v>0.0</v>
      </c>
      <c r="F665" s="66" t="s">
        <v>204</v>
      </c>
      <c r="G665" s="66">
        <f t="shared" si="11"/>
        <v>0</v>
      </c>
      <c r="H665" s="66">
        <v>25.4543</v>
      </c>
      <c r="I665" s="66">
        <v>25.798</v>
      </c>
      <c r="J665" s="66">
        <v>25.6204</v>
      </c>
      <c r="K665" s="81">
        <f t="shared" si="2"/>
        <v>0.3437</v>
      </c>
      <c r="L665" s="81">
        <f t="shared" si="3"/>
        <v>0.1661</v>
      </c>
    </row>
    <row r="666">
      <c r="A666" s="82">
        <v>44676.0</v>
      </c>
      <c r="B666" s="82">
        <v>44676.0</v>
      </c>
      <c r="C666" s="66">
        <v>2379.0</v>
      </c>
      <c r="D666" s="66" t="s">
        <v>198</v>
      </c>
      <c r="E666" s="66">
        <v>0.0</v>
      </c>
      <c r="F666" s="66" t="s">
        <v>204</v>
      </c>
      <c r="G666" s="66">
        <f t="shared" si="11"/>
        <v>0</v>
      </c>
      <c r="H666" s="66">
        <v>15.077</v>
      </c>
      <c r="I666" s="66">
        <v>15.5904</v>
      </c>
      <c r="J666" s="66">
        <v>15.113</v>
      </c>
      <c r="K666" s="81">
        <f t="shared" si="2"/>
        <v>0.5134</v>
      </c>
      <c r="L666" s="81">
        <f t="shared" si="3"/>
        <v>0.036</v>
      </c>
    </row>
    <row r="667">
      <c r="A667" s="82">
        <v>44676.0</v>
      </c>
      <c r="B667" s="82">
        <v>44676.0</v>
      </c>
      <c r="C667" s="66">
        <v>2011.0</v>
      </c>
      <c r="D667" s="66" t="s">
        <v>203</v>
      </c>
      <c r="E667" s="66">
        <v>1.0</v>
      </c>
      <c r="F667" s="66" t="s">
        <v>204</v>
      </c>
      <c r="G667" s="66">
        <f t="shared" si="11"/>
        <v>0</v>
      </c>
      <c r="H667" s="66">
        <v>26.5034</v>
      </c>
      <c r="I667" s="66">
        <v>27.821</v>
      </c>
      <c r="J667" s="66">
        <v>27.2207</v>
      </c>
      <c r="K667" s="81">
        <f t="shared" si="2"/>
        <v>1.3176</v>
      </c>
      <c r="L667" s="81">
        <f t="shared" si="3"/>
        <v>0.7173</v>
      </c>
    </row>
    <row r="668">
      <c r="A668" s="82">
        <v>44676.0</v>
      </c>
      <c r="B668" s="82">
        <v>44676.0</v>
      </c>
      <c r="C668" s="66">
        <v>2345.0</v>
      </c>
      <c r="D668" s="66" t="s">
        <v>203</v>
      </c>
      <c r="E668" s="66">
        <v>1.0</v>
      </c>
      <c r="F668" s="66" t="s">
        <v>204</v>
      </c>
      <c r="G668" s="66">
        <f t="shared" si="11"/>
        <v>0</v>
      </c>
      <c r="H668" s="66">
        <v>25.7733</v>
      </c>
      <c r="I668" s="66">
        <v>27.036</v>
      </c>
      <c r="J668" s="66">
        <v>26.2692</v>
      </c>
      <c r="K668" s="81">
        <f t="shared" si="2"/>
        <v>1.2627</v>
      </c>
      <c r="L668" s="81">
        <f t="shared" si="3"/>
        <v>0.4959</v>
      </c>
    </row>
    <row r="669">
      <c r="A669" s="82">
        <v>44676.0</v>
      </c>
      <c r="B669" s="82">
        <v>44676.0</v>
      </c>
      <c r="C669" s="66">
        <v>2372.0</v>
      </c>
      <c r="D669" s="66" t="s">
        <v>198</v>
      </c>
      <c r="E669" s="66">
        <v>0.0</v>
      </c>
      <c r="F669" s="66" t="s">
        <v>204</v>
      </c>
      <c r="G669" s="66">
        <f t="shared" si="11"/>
        <v>0</v>
      </c>
      <c r="H669" s="66">
        <v>26.3708</v>
      </c>
      <c r="I669" s="66">
        <v>26.6868</v>
      </c>
      <c r="J669" s="66">
        <v>26.4747</v>
      </c>
      <c r="K669" s="81">
        <f t="shared" si="2"/>
        <v>0.316</v>
      </c>
      <c r="L669" s="81">
        <f t="shared" si="3"/>
        <v>0.1039</v>
      </c>
    </row>
    <row r="670">
      <c r="A670" s="82">
        <v>44676.0</v>
      </c>
      <c r="B670" s="82">
        <v>44676.0</v>
      </c>
      <c r="C670" s="66">
        <v>2380.0</v>
      </c>
      <c r="D670" s="66" t="s">
        <v>203</v>
      </c>
      <c r="E670" s="66">
        <v>0.0</v>
      </c>
      <c r="F670" s="66" t="s">
        <v>204</v>
      </c>
      <c r="G670" s="66">
        <f t="shared" si="11"/>
        <v>0</v>
      </c>
      <c r="H670" s="66">
        <v>26.6165</v>
      </c>
      <c r="I670" s="66">
        <v>26.787</v>
      </c>
      <c r="J670" s="66">
        <v>26.7464</v>
      </c>
      <c r="K670" s="81">
        <f t="shared" si="2"/>
        <v>0.1705</v>
      </c>
      <c r="L670" s="81">
        <f t="shared" si="3"/>
        <v>0.1299</v>
      </c>
    </row>
    <row r="671">
      <c r="A671" s="82">
        <v>44676.0</v>
      </c>
      <c r="B671" s="82">
        <v>44676.0</v>
      </c>
      <c r="C671" s="66">
        <v>2378.0</v>
      </c>
      <c r="D671" s="66" t="s">
        <v>203</v>
      </c>
      <c r="E671" s="66">
        <v>0.0</v>
      </c>
      <c r="F671" s="66" t="s">
        <v>205</v>
      </c>
      <c r="G671" s="66">
        <f t="shared" si="11"/>
        <v>0</v>
      </c>
      <c r="H671" s="66">
        <v>25.933</v>
      </c>
      <c r="I671" s="66">
        <v>30.333</v>
      </c>
      <c r="J671" s="66">
        <v>28.1138</v>
      </c>
      <c r="K671" s="81">
        <f t="shared" si="2"/>
        <v>4.4</v>
      </c>
      <c r="L671" s="81">
        <f t="shared" si="3"/>
        <v>2.1808</v>
      </c>
    </row>
    <row r="672">
      <c r="A672" s="82">
        <v>44676.0</v>
      </c>
      <c r="B672" s="82">
        <v>44676.0</v>
      </c>
      <c r="C672" s="66">
        <v>2382.0</v>
      </c>
      <c r="D672" s="66" t="s">
        <v>203</v>
      </c>
      <c r="E672" s="66">
        <v>0.0</v>
      </c>
      <c r="F672" s="66" t="s">
        <v>204</v>
      </c>
      <c r="G672" s="66">
        <f t="shared" si="11"/>
        <v>0</v>
      </c>
      <c r="H672" s="66">
        <v>26.4913</v>
      </c>
      <c r="I672" s="66">
        <v>26.981</v>
      </c>
      <c r="J672" s="66">
        <v>26.6875</v>
      </c>
      <c r="K672" s="81">
        <f t="shared" si="2"/>
        <v>0.4897</v>
      </c>
      <c r="L672" s="81">
        <f t="shared" si="3"/>
        <v>0.1962</v>
      </c>
    </row>
    <row r="673">
      <c r="A673" s="82">
        <v>44676.0</v>
      </c>
      <c r="B673" s="82">
        <v>44676.0</v>
      </c>
      <c r="C673" s="66">
        <v>2380.0</v>
      </c>
      <c r="D673" s="66" t="s">
        <v>203</v>
      </c>
      <c r="E673" s="66">
        <v>0.0</v>
      </c>
      <c r="F673" s="66" t="s">
        <v>205</v>
      </c>
      <c r="G673" s="66">
        <f t="shared" si="11"/>
        <v>0</v>
      </c>
      <c r="H673" s="66">
        <v>25.9442</v>
      </c>
      <c r="I673" s="66">
        <v>28.729</v>
      </c>
      <c r="J673" s="66">
        <v>27.4203</v>
      </c>
      <c r="K673" s="81">
        <f t="shared" si="2"/>
        <v>2.7848</v>
      </c>
      <c r="L673" s="81">
        <f t="shared" si="3"/>
        <v>1.4761</v>
      </c>
    </row>
    <row r="674">
      <c r="A674" s="82">
        <v>44676.0</v>
      </c>
      <c r="B674" s="82">
        <v>44676.0</v>
      </c>
      <c r="C674" s="66">
        <v>2378.0</v>
      </c>
      <c r="D674" s="66" t="s">
        <v>203</v>
      </c>
      <c r="E674" s="66">
        <v>0.0</v>
      </c>
      <c r="F674" s="66" t="s">
        <v>204</v>
      </c>
      <c r="G674" s="66">
        <f t="shared" si="11"/>
        <v>0</v>
      </c>
      <c r="H674" s="66">
        <v>26.3893</v>
      </c>
      <c r="I674" s="66">
        <v>26.854</v>
      </c>
      <c r="J674" s="66">
        <v>26.6042</v>
      </c>
      <c r="K674" s="81">
        <f t="shared" si="2"/>
        <v>0.4647</v>
      </c>
      <c r="L674" s="81">
        <f t="shared" si="3"/>
        <v>0.2149</v>
      </c>
    </row>
    <row r="675">
      <c r="A675" s="82">
        <v>44676.0</v>
      </c>
      <c r="B675" s="82">
        <v>44676.0</v>
      </c>
      <c r="C675" s="66">
        <v>2378.0</v>
      </c>
      <c r="D675" s="66" t="s">
        <v>203</v>
      </c>
      <c r="E675" s="66">
        <v>1.0</v>
      </c>
      <c r="F675" s="66" t="s">
        <v>204</v>
      </c>
      <c r="G675" s="66">
        <f t="shared" si="11"/>
        <v>0</v>
      </c>
      <c r="H675" s="66">
        <v>25.9443</v>
      </c>
      <c r="I675" s="66">
        <v>26.288</v>
      </c>
      <c r="J675" s="66">
        <v>26.346</v>
      </c>
      <c r="K675" s="81">
        <f t="shared" si="2"/>
        <v>0.3437</v>
      </c>
      <c r="L675" s="81">
        <f t="shared" si="3"/>
        <v>0.4017</v>
      </c>
    </row>
    <row r="676">
      <c r="A676" s="82">
        <v>44676.0</v>
      </c>
      <c r="B676" s="82">
        <v>44676.0</v>
      </c>
      <c r="C676" s="66">
        <v>2360.0</v>
      </c>
      <c r="D676" s="66" t="s">
        <v>203</v>
      </c>
      <c r="E676" s="66">
        <v>0.0</v>
      </c>
      <c r="F676" s="66" t="s">
        <v>204</v>
      </c>
      <c r="G676" s="66">
        <f t="shared" si="11"/>
        <v>0</v>
      </c>
      <c r="H676" s="66">
        <v>25.5034</v>
      </c>
      <c r="I676" s="66">
        <v>26.24</v>
      </c>
      <c r="J676" s="66">
        <v>25.7</v>
      </c>
      <c r="K676" s="81">
        <f t="shared" si="2"/>
        <v>0.7366</v>
      </c>
      <c r="L676" s="81">
        <f t="shared" si="3"/>
        <v>0.1966</v>
      </c>
    </row>
    <row r="677">
      <c r="A677" s="82">
        <v>44676.0</v>
      </c>
      <c r="B677" s="82">
        <v>44676.0</v>
      </c>
      <c r="C677" s="66">
        <v>2381.0</v>
      </c>
      <c r="D677" s="66" t="s">
        <v>203</v>
      </c>
      <c r="E677" s="66">
        <v>1.0</v>
      </c>
      <c r="F677" s="66" t="s">
        <v>204</v>
      </c>
      <c r="G677" s="66">
        <f t="shared" si="11"/>
        <v>0</v>
      </c>
      <c r="H677" s="66">
        <v>15.9963</v>
      </c>
      <c r="I677" s="66">
        <v>16.098</v>
      </c>
      <c r="J677" s="66">
        <v>16.231</v>
      </c>
      <c r="K677" s="81">
        <f t="shared" si="2"/>
        <v>0.1017</v>
      </c>
      <c r="L677" s="81">
        <f t="shared" si="3"/>
        <v>0.2347</v>
      </c>
    </row>
    <row r="678">
      <c r="A678" s="82">
        <v>44676.0</v>
      </c>
      <c r="B678" s="82">
        <v>44676.0</v>
      </c>
      <c r="C678" s="66">
        <v>2367.0</v>
      </c>
      <c r="D678" s="66" t="s">
        <v>203</v>
      </c>
      <c r="E678" s="66">
        <v>0.0</v>
      </c>
      <c r="F678" s="66" t="s">
        <v>205</v>
      </c>
      <c r="G678" s="66">
        <f t="shared" si="11"/>
        <v>0</v>
      </c>
      <c r="H678" s="66">
        <v>25.9274</v>
      </c>
      <c r="I678" s="66">
        <v>31.885</v>
      </c>
      <c r="J678" s="66">
        <v>28.6435</v>
      </c>
      <c r="K678" s="81">
        <f t="shared" si="2"/>
        <v>5.9576</v>
      </c>
      <c r="L678" s="81">
        <f t="shared" si="3"/>
        <v>2.7161</v>
      </c>
    </row>
    <row r="679">
      <c r="A679" s="82">
        <v>44676.0</v>
      </c>
      <c r="B679" s="82">
        <v>44676.0</v>
      </c>
      <c r="C679" s="66">
        <v>2375.0</v>
      </c>
      <c r="D679" s="66" t="s">
        <v>203</v>
      </c>
      <c r="E679" s="66">
        <v>0.0</v>
      </c>
      <c r="F679" s="66" t="s">
        <v>205</v>
      </c>
      <c r="G679" s="66">
        <f t="shared" si="11"/>
        <v>0</v>
      </c>
      <c r="H679" s="66">
        <v>26.2187</v>
      </c>
      <c r="I679" s="66">
        <v>31.136</v>
      </c>
      <c r="J679" s="66">
        <v>28.7937</v>
      </c>
      <c r="K679" s="81">
        <f t="shared" si="2"/>
        <v>4.9173</v>
      </c>
      <c r="L679" s="81">
        <f t="shared" si="3"/>
        <v>2.575</v>
      </c>
    </row>
    <row r="680">
      <c r="A680" s="82">
        <v>44676.0</v>
      </c>
      <c r="B680" s="82">
        <v>44676.0</v>
      </c>
      <c r="C680" s="66">
        <v>2369.0</v>
      </c>
      <c r="D680" s="66" t="s">
        <v>203</v>
      </c>
      <c r="E680" s="66">
        <v>0.0</v>
      </c>
      <c r="F680" s="66" t="s">
        <v>204</v>
      </c>
      <c r="G680" s="66">
        <f t="shared" si="11"/>
        <v>0</v>
      </c>
      <c r="H680" s="66">
        <v>26.2677</v>
      </c>
      <c r="I680" s="66">
        <v>26.82</v>
      </c>
      <c r="J680" s="66">
        <v>26.5231</v>
      </c>
      <c r="K680" s="81">
        <f t="shared" si="2"/>
        <v>0.5523</v>
      </c>
      <c r="L680" s="81">
        <f t="shared" si="3"/>
        <v>0.2554</v>
      </c>
    </row>
    <row r="681">
      <c r="A681" s="82">
        <v>44676.0</v>
      </c>
      <c r="B681" s="82">
        <v>44676.0</v>
      </c>
      <c r="C681" s="66">
        <v>2343.0</v>
      </c>
      <c r="D681" s="66" t="s">
        <v>203</v>
      </c>
      <c r="E681" s="66">
        <v>0.0</v>
      </c>
      <c r="F681" s="66" t="s">
        <v>204</v>
      </c>
      <c r="G681" s="66">
        <f t="shared" si="11"/>
        <v>0</v>
      </c>
      <c r="H681" s="66">
        <v>26.105</v>
      </c>
      <c r="I681" s="66">
        <v>26.693</v>
      </c>
      <c r="J681" s="66">
        <v>26.3215</v>
      </c>
      <c r="K681" s="81">
        <f t="shared" si="2"/>
        <v>0.588</v>
      </c>
      <c r="L681" s="81">
        <f t="shared" si="3"/>
        <v>0.2165</v>
      </c>
    </row>
    <row r="682">
      <c r="A682" s="82">
        <v>44676.0</v>
      </c>
      <c r="B682" s="82">
        <v>44676.0</v>
      </c>
      <c r="C682" s="66">
        <v>2375.0</v>
      </c>
      <c r="D682" s="66" t="s">
        <v>198</v>
      </c>
      <c r="E682" s="66">
        <v>0.0</v>
      </c>
      <c r="F682" s="66" t="s">
        <v>204</v>
      </c>
      <c r="G682" s="66">
        <f t="shared" si="11"/>
        <v>0</v>
      </c>
      <c r="H682" s="66">
        <v>25.8714</v>
      </c>
      <c r="I682" s="66">
        <v>26.1255</v>
      </c>
      <c r="J682" s="66">
        <v>25.9652</v>
      </c>
      <c r="K682" s="81">
        <f t="shared" si="2"/>
        <v>0.2541</v>
      </c>
      <c r="L682" s="81">
        <f t="shared" si="3"/>
        <v>0.0938</v>
      </c>
    </row>
    <row r="683">
      <c r="A683" s="82">
        <v>44676.0</v>
      </c>
      <c r="B683" s="82">
        <v>44676.0</v>
      </c>
      <c r="C683" s="66">
        <v>2381.0</v>
      </c>
      <c r="D683" s="66" t="s">
        <v>203</v>
      </c>
      <c r="E683" s="66">
        <v>0.0</v>
      </c>
      <c r="F683" s="66" t="s">
        <v>205</v>
      </c>
      <c r="G683" s="66">
        <f t="shared" si="11"/>
        <v>0</v>
      </c>
      <c r="H683" s="66">
        <v>26.0332</v>
      </c>
      <c r="I683" s="66">
        <v>31.006</v>
      </c>
      <c r="J683" s="66">
        <v>28.4977</v>
      </c>
      <c r="K683" s="81">
        <f t="shared" si="2"/>
        <v>4.9728</v>
      </c>
      <c r="L683" s="81">
        <f t="shared" si="3"/>
        <v>2.4645</v>
      </c>
    </row>
    <row r="684">
      <c r="A684" s="82">
        <v>44676.0</v>
      </c>
      <c r="B684" s="82">
        <v>44676.0</v>
      </c>
      <c r="C684" s="66">
        <v>2378.0</v>
      </c>
      <c r="D684" s="66" t="s">
        <v>198</v>
      </c>
      <c r="E684" s="66">
        <v>0.0</v>
      </c>
      <c r="F684" s="66" t="s">
        <v>205</v>
      </c>
      <c r="G684" s="66">
        <f t="shared" si="11"/>
        <v>0</v>
      </c>
      <c r="H684" s="66">
        <v>25.5873</v>
      </c>
      <c r="I684" s="66">
        <v>30.0053</v>
      </c>
      <c r="J684" s="66">
        <v>27.5975</v>
      </c>
      <c r="K684" s="81">
        <f t="shared" si="2"/>
        <v>4.418</v>
      </c>
      <c r="L684" s="81">
        <f t="shared" si="3"/>
        <v>2.0102</v>
      </c>
    </row>
    <row r="685">
      <c r="A685" s="82">
        <v>44676.0</v>
      </c>
      <c r="B685" s="82">
        <v>44676.0</v>
      </c>
      <c r="C685" s="66">
        <v>2346.0</v>
      </c>
      <c r="D685" s="66" t="s">
        <v>198</v>
      </c>
      <c r="E685" s="66">
        <v>0.0</v>
      </c>
      <c r="F685" s="66" t="s">
        <v>204</v>
      </c>
      <c r="G685" s="66">
        <f t="shared" si="11"/>
        <v>0</v>
      </c>
      <c r="H685" s="66">
        <v>26.0077</v>
      </c>
      <c r="I685" s="66">
        <v>26.0949</v>
      </c>
      <c r="J685" s="66">
        <v>26.03</v>
      </c>
      <c r="K685" s="81">
        <f t="shared" si="2"/>
        <v>0.0872</v>
      </c>
      <c r="L685" s="81">
        <f t="shared" si="3"/>
        <v>0.0223</v>
      </c>
    </row>
    <row r="686">
      <c r="A686" s="82">
        <v>44676.0</v>
      </c>
      <c r="B686" s="82">
        <v>44676.0</v>
      </c>
      <c r="C686" s="66">
        <v>2382.0</v>
      </c>
      <c r="D686" s="66" t="s">
        <v>203</v>
      </c>
      <c r="E686" s="66">
        <v>1.0</v>
      </c>
      <c r="F686" s="66" t="s">
        <v>204</v>
      </c>
      <c r="G686" s="66">
        <f t="shared" si="11"/>
        <v>0</v>
      </c>
      <c r="H686" s="66">
        <v>15.9537</v>
      </c>
      <c r="I686" s="66">
        <v>17.502</v>
      </c>
      <c r="J686" s="66">
        <v>16.992</v>
      </c>
      <c r="K686" s="81">
        <f t="shared" si="2"/>
        <v>1.5483</v>
      </c>
      <c r="L686" s="81">
        <f t="shared" si="3"/>
        <v>1.0383</v>
      </c>
    </row>
    <row r="687">
      <c r="A687" s="82">
        <v>44676.0</v>
      </c>
      <c r="B687" s="82">
        <v>44676.0</v>
      </c>
      <c r="C687" s="66">
        <v>2376.0</v>
      </c>
      <c r="D687" s="66" t="s">
        <v>203</v>
      </c>
      <c r="E687" s="66">
        <v>1.0</v>
      </c>
      <c r="F687" s="66" t="s">
        <v>205</v>
      </c>
      <c r="G687" s="66">
        <f t="shared" si="11"/>
        <v>0</v>
      </c>
      <c r="H687" s="66">
        <v>25.7785</v>
      </c>
      <c r="I687" s="66">
        <v>35.816</v>
      </c>
      <c r="J687" s="66">
        <v>30.973</v>
      </c>
      <c r="K687" s="81">
        <f t="shared" si="2"/>
        <v>10.0375</v>
      </c>
      <c r="L687" s="81">
        <f t="shared" si="3"/>
        <v>5.1945</v>
      </c>
    </row>
    <row r="688">
      <c r="A688" s="82">
        <v>44676.0</v>
      </c>
      <c r="B688" s="82">
        <v>44676.0</v>
      </c>
      <c r="C688" s="66">
        <v>2371.0</v>
      </c>
      <c r="D688" s="66" t="s">
        <v>203</v>
      </c>
      <c r="E688" s="66">
        <v>0.0</v>
      </c>
      <c r="F688" s="66" t="s">
        <v>205</v>
      </c>
      <c r="G688" s="66">
        <f t="shared" si="11"/>
        <v>0</v>
      </c>
      <c r="H688" s="66">
        <v>26.608</v>
      </c>
      <c r="I688" s="66">
        <v>33.218</v>
      </c>
      <c r="J688" s="66">
        <v>29.9742</v>
      </c>
      <c r="K688" s="81">
        <f t="shared" si="2"/>
        <v>6.61</v>
      </c>
      <c r="L688" s="81">
        <f t="shared" si="3"/>
        <v>3.3662</v>
      </c>
    </row>
    <row r="689">
      <c r="A689" s="82">
        <v>44676.0</v>
      </c>
      <c r="B689" s="82">
        <v>44676.0</v>
      </c>
      <c r="C689" s="66">
        <v>2382.0</v>
      </c>
      <c r="D689" s="66" t="s">
        <v>203</v>
      </c>
      <c r="E689" s="66">
        <v>0.0</v>
      </c>
      <c r="F689" s="66" t="s">
        <v>205</v>
      </c>
      <c r="G689" s="66">
        <f t="shared" si="11"/>
        <v>0</v>
      </c>
      <c r="H689" s="66">
        <v>26.4091</v>
      </c>
      <c r="I689" s="66">
        <v>31.938</v>
      </c>
      <c r="J689" s="66">
        <v>29.2778</v>
      </c>
      <c r="K689" s="81">
        <f t="shared" si="2"/>
        <v>5.5289</v>
      </c>
      <c r="L689" s="81">
        <f t="shared" si="3"/>
        <v>2.8687</v>
      </c>
    </row>
    <row r="690">
      <c r="A690" s="82">
        <v>44676.0</v>
      </c>
      <c r="B690" s="82">
        <v>44676.0</v>
      </c>
      <c r="C690" s="66">
        <v>2010.0</v>
      </c>
      <c r="D690" s="66" t="s">
        <v>203</v>
      </c>
      <c r="E690" s="66">
        <v>0.0</v>
      </c>
      <c r="F690" s="66" t="s">
        <v>205</v>
      </c>
      <c r="G690" s="66">
        <f t="shared" si="11"/>
        <v>0</v>
      </c>
      <c r="H690" s="66">
        <v>25.9644</v>
      </c>
      <c r="I690" s="66">
        <v>32.985</v>
      </c>
      <c r="J690" s="66">
        <v>29.509</v>
      </c>
      <c r="K690" s="81">
        <f t="shared" si="2"/>
        <v>7.0206</v>
      </c>
      <c r="L690" s="81">
        <f t="shared" si="3"/>
        <v>3.5446</v>
      </c>
    </row>
    <row r="691">
      <c r="A691" s="82">
        <v>44676.0</v>
      </c>
      <c r="B691" s="82">
        <v>44676.0</v>
      </c>
      <c r="C691" s="66">
        <v>2365.0</v>
      </c>
      <c r="D691" s="66" t="s">
        <v>198</v>
      </c>
      <c r="E691" s="66">
        <v>0.0</v>
      </c>
      <c r="F691" s="66" t="s">
        <v>205</v>
      </c>
      <c r="G691" s="66">
        <f t="shared" si="11"/>
        <v>0</v>
      </c>
      <c r="H691" s="66">
        <v>25.6596</v>
      </c>
      <c r="I691" s="66">
        <v>28.0693</v>
      </c>
      <c r="J691" s="66">
        <v>26.776</v>
      </c>
      <c r="K691" s="81">
        <f t="shared" si="2"/>
        <v>2.4097</v>
      </c>
      <c r="L691" s="81">
        <f t="shared" si="3"/>
        <v>1.1164</v>
      </c>
    </row>
    <row r="692">
      <c r="A692" s="82">
        <v>44677.0</v>
      </c>
      <c r="B692" s="82">
        <v>44677.0</v>
      </c>
      <c r="C692" s="66" t="s">
        <v>95</v>
      </c>
      <c r="D692" s="66" t="s">
        <v>198</v>
      </c>
      <c r="E692" s="66">
        <v>0.0</v>
      </c>
      <c r="F692" s="66" t="s">
        <v>204</v>
      </c>
      <c r="G692" s="66">
        <f t="shared" si="11"/>
        <v>0</v>
      </c>
      <c r="H692" s="66">
        <v>67.2169</v>
      </c>
      <c r="I692" s="66">
        <v>69.2717</v>
      </c>
      <c r="J692" s="66">
        <v>67.8523</v>
      </c>
      <c r="K692" s="81">
        <f t="shared" si="2"/>
        <v>2.0548</v>
      </c>
      <c r="L692" s="81">
        <f t="shared" si="3"/>
        <v>0.6354</v>
      </c>
    </row>
    <row r="693">
      <c r="A693" s="82">
        <v>44677.0</v>
      </c>
      <c r="B693" s="82">
        <v>44677.0</v>
      </c>
      <c r="C693" s="66" t="s">
        <v>95</v>
      </c>
      <c r="D693" s="66" t="s">
        <v>198</v>
      </c>
      <c r="E693" s="66">
        <v>0.0</v>
      </c>
      <c r="F693" s="66" t="s">
        <v>204</v>
      </c>
      <c r="G693" s="66">
        <f t="shared" si="11"/>
        <v>0</v>
      </c>
      <c r="H693" s="66">
        <v>68.078</v>
      </c>
      <c r="I693" s="66">
        <v>69.2905</v>
      </c>
      <c r="J693" s="66">
        <v>68.493</v>
      </c>
      <c r="K693" s="81">
        <f t="shared" si="2"/>
        <v>1.2125</v>
      </c>
      <c r="L693" s="81">
        <f t="shared" si="3"/>
        <v>0.415</v>
      </c>
    </row>
    <row r="694">
      <c r="A694" s="82">
        <v>44677.0</v>
      </c>
      <c r="B694" s="82">
        <v>44677.0</v>
      </c>
      <c r="C694" s="66" t="s">
        <v>95</v>
      </c>
      <c r="D694" s="66" t="s">
        <v>198</v>
      </c>
      <c r="E694" s="66">
        <v>0.0</v>
      </c>
      <c r="F694" s="66" t="s">
        <v>204</v>
      </c>
      <c r="G694" s="66">
        <f t="shared" si="11"/>
        <v>0</v>
      </c>
      <c r="H694" s="66">
        <v>68.1853</v>
      </c>
      <c r="I694" s="66">
        <v>69.5705</v>
      </c>
      <c r="J694" s="66">
        <v>68.5765</v>
      </c>
      <c r="K694" s="81">
        <f t="shared" si="2"/>
        <v>1.3852</v>
      </c>
      <c r="L694" s="81">
        <f t="shared" si="3"/>
        <v>0.3912</v>
      </c>
    </row>
    <row r="695">
      <c r="A695" s="82">
        <v>44677.0</v>
      </c>
      <c r="B695" s="82">
        <v>44677.0</v>
      </c>
      <c r="C695" s="66" t="s">
        <v>213</v>
      </c>
      <c r="D695" s="66" t="s">
        <v>198</v>
      </c>
      <c r="E695" s="66">
        <v>0.0</v>
      </c>
      <c r="F695" s="66" t="s">
        <v>205</v>
      </c>
      <c r="G695" s="66">
        <f t="shared" si="11"/>
        <v>0</v>
      </c>
      <c r="H695" s="66">
        <v>67.8821</v>
      </c>
      <c r="I695" s="66">
        <v>79.8415</v>
      </c>
      <c r="J695" s="66">
        <v>70.8079</v>
      </c>
      <c r="K695" s="81">
        <f t="shared" si="2"/>
        <v>11.9594</v>
      </c>
      <c r="L695" s="81">
        <f t="shared" si="3"/>
        <v>2.9258</v>
      </c>
    </row>
    <row r="696">
      <c r="A696" s="82">
        <v>44677.0</v>
      </c>
      <c r="B696" s="82">
        <v>44677.0</v>
      </c>
      <c r="C696" s="66" t="s">
        <v>95</v>
      </c>
      <c r="D696" s="66" t="s">
        <v>198</v>
      </c>
      <c r="E696" s="66">
        <v>0.0</v>
      </c>
      <c r="F696" s="66" t="s">
        <v>204</v>
      </c>
      <c r="G696" s="66">
        <f t="shared" si="11"/>
        <v>0</v>
      </c>
      <c r="H696" s="66">
        <v>67.7925</v>
      </c>
      <c r="I696" s="66">
        <v>68.8964</v>
      </c>
      <c r="J696" s="66">
        <v>68.2073</v>
      </c>
      <c r="K696" s="81">
        <f t="shared" si="2"/>
        <v>1.1039</v>
      </c>
      <c r="L696" s="81">
        <f t="shared" si="3"/>
        <v>0.4148</v>
      </c>
    </row>
    <row r="697">
      <c r="A697" s="82">
        <v>44677.0</v>
      </c>
      <c r="B697" s="82">
        <v>44677.0</v>
      </c>
      <c r="C697" s="66" t="s">
        <v>213</v>
      </c>
      <c r="D697" s="66" t="s">
        <v>198</v>
      </c>
      <c r="E697" s="66">
        <v>0.0</v>
      </c>
      <c r="F697" s="66" t="s">
        <v>205</v>
      </c>
      <c r="G697" s="66">
        <f t="shared" si="11"/>
        <v>0</v>
      </c>
      <c r="H697" s="66">
        <v>67.2012</v>
      </c>
      <c r="I697" s="66">
        <v>73.3428</v>
      </c>
      <c r="J697" s="66">
        <v>68.7205</v>
      </c>
      <c r="K697" s="81">
        <f t="shared" si="2"/>
        <v>6.1416</v>
      </c>
      <c r="L697" s="81">
        <f t="shared" si="3"/>
        <v>1.5193</v>
      </c>
    </row>
    <row r="698">
      <c r="A698" s="82">
        <v>44677.0</v>
      </c>
      <c r="B698" s="82">
        <v>44677.0</v>
      </c>
      <c r="C698" s="66" t="s">
        <v>212</v>
      </c>
      <c r="D698" s="66" t="s">
        <v>198</v>
      </c>
      <c r="E698" s="66">
        <v>0.0</v>
      </c>
      <c r="F698" s="66" t="s">
        <v>205</v>
      </c>
      <c r="G698" s="66">
        <f t="shared" si="11"/>
        <v>0</v>
      </c>
      <c r="H698" s="66">
        <v>66.7978</v>
      </c>
      <c r="I698" s="66">
        <v>74.6155</v>
      </c>
      <c r="J698" s="66">
        <v>69.0764</v>
      </c>
      <c r="K698" s="81">
        <f t="shared" si="2"/>
        <v>7.8177</v>
      </c>
      <c r="L698" s="81">
        <f t="shared" si="3"/>
        <v>2.2786</v>
      </c>
    </row>
    <row r="699">
      <c r="A699" s="82">
        <v>44677.0</v>
      </c>
      <c r="B699" s="82">
        <v>44677.0</v>
      </c>
      <c r="C699" s="66" t="s">
        <v>213</v>
      </c>
      <c r="D699" s="66" t="s">
        <v>198</v>
      </c>
      <c r="E699" s="66">
        <v>0.0</v>
      </c>
      <c r="F699" s="66" t="s">
        <v>205</v>
      </c>
      <c r="G699" s="66">
        <f t="shared" si="11"/>
        <v>0</v>
      </c>
      <c r="H699" s="66">
        <v>68.0232</v>
      </c>
      <c r="I699" s="66">
        <v>77.1568</v>
      </c>
      <c r="J699" s="66">
        <v>69.9496</v>
      </c>
      <c r="K699" s="81">
        <f t="shared" si="2"/>
        <v>9.1336</v>
      </c>
      <c r="L699" s="81">
        <f t="shared" si="3"/>
        <v>1.9264</v>
      </c>
    </row>
    <row r="700">
      <c r="A700" s="82">
        <v>44677.0</v>
      </c>
      <c r="B700" s="82">
        <v>44677.0</v>
      </c>
      <c r="C700" s="66" t="s">
        <v>213</v>
      </c>
      <c r="D700" s="66" t="s">
        <v>198</v>
      </c>
      <c r="E700" s="66">
        <v>0.0</v>
      </c>
      <c r="F700" s="66" t="s">
        <v>205</v>
      </c>
      <c r="G700" s="66">
        <f t="shared" si="11"/>
        <v>0</v>
      </c>
      <c r="H700" s="66">
        <v>67.6068</v>
      </c>
      <c r="I700" s="66">
        <v>78.3655</v>
      </c>
      <c r="J700" s="66">
        <v>69.9384</v>
      </c>
      <c r="K700" s="81">
        <f t="shared" si="2"/>
        <v>10.7587</v>
      </c>
      <c r="L700" s="81">
        <f t="shared" si="3"/>
        <v>2.3316</v>
      </c>
    </row>
    <row r="701">
      <c r="A701" s="82">
        <v>44677.0</v>
      </c>
      <c r="B701" s="82">
        <v>44677.0</v>
      </c>
      <c r="C701" s="66" t="s">
        <v>212</v>
      </c>
      <c r="D701" s="66" t="s">
        <v>198</v>
      </c>
      <c r="E701" s="66">
        <v>0.0</v>
      </c>
      <c r="F701" s="66" t="s">
        <v>205</v>
      </c>
      <c r="G701" s="66">
        <f t="shared" si="11"/>
        <v>0</v>
      </c>
      <c r="H701" s="66">
        <v>67.1276</v>
      </c>
      <c r="I701" s="66">
        <v>72.8007</v>
      </c>
      <c r="J701" s="66">
        <v>68.9794</v>
      </c>
      <c r="K701" s="81">
        <f t="shared" si="2"/>
        <v>5.6731</v>
      </c>
      <c r="L701" s="81">
        <f t="shared" si="3"/>
        <v>1.8518</v>
      </c>
    </row>
    <row r="702">
      <c r="A702" s="82">
        <v>44677.0</v>
      </c>
      <c r="B702" s="82">
        <v>44677.0</v>
      </c>
      <c r="C702" s="66" t="s">
        <v>212</v>
      </c>
      <c r="D702" s="66" t="s">
        <v>198</v>
      </c>
      <c r="E702" s="66">
        <v>0.0</v>
      </c>
      <c r="F702" s="66" t="s">
        <v>205</v>
      </c>
      <c r="G702" s="66">
        <f t="shared" si="11"/>
        <v>0</v>
      </c>
      <c r="H702" s="66">
        <v>67.4333</v>
      </c>
      <c r="I702" s="66">
        <v>71.229</v>
      </c>
      <c r="J702" s="66">
        <v>68.8144</v>
      </c>
      <c r="K702" s="81">
        <f t="shared" si="2"/>
        <v>3.7957</v>
      </c>
      <c r="L702" s="81">
        <f t="shared" si="3"/>
        <v>1.3811</v>
      </c>
    </row>
    <row r="703">
      <c r="A703" s="82">
        <v>44677.0</v>
      </c>
      <c r="B703" s="82">
        <v>44677.0</v>
      </c>
      <c r="C703" s="66" t="s">
        <v>95</v>
      </c>
      <c r="D703" s="66" t="s">
        <v>198</v>
      </c>
      <c r="E703" s="66">
        <v>0.0</v>
      </c>
      <c r="F703" s="66" t="s">
        <v>205</v>
      </c>
      <c r="G703" s="66">
        <f t="shared" si="11"/>
        <v>0</v>
      </c>
      <c r="H703" s="66">
        <v>7.3578</v>
      </c>
      <c r="I703" s="66">
        <v>13.9604</v>
      </c>
      <c r="J703" s="66">
        <v>9.3501</v>
      </c>
      <c r="K703" s="81">
        <f t="shared" si="2"/>
        <v>6.6026</v>
      </c>
      <c r="L703" s="81">
        <f t="shared" si="3"/>
        <v>1.9923</v>
      </c>
    </row>
    <row r="704">
      <c r="A704" s="82">
        <v>44677.0</v>
      </c>
      <c r="B704" s="82">
        <v>44677.0</v>
      </c>
      <c r="C704" s="66" t="s">
        <v>95</v>
      </c>
      <c r="D704" s="66" t="s">
        <v>198</v>
      </c>
      <c r="E704" s="66">
        <v>0.0</v>
      </c>
      <c r="F704" s="66" t="s">
        <v>205</v>
      </c>
      <c r="G704" s="66">
        <f t="shared" si="11"/>
        <v>0</v>
      </c>
      <c r="H704" s="66">
        <v>7.3719</v>
      </c>
      <c r="I704" s="66">
        <v>11.4053</v>
      </c>
      <c r="J704" s="66">
        <v>8.758</v>
      </c>
      <c r="K704" s="81">
        <f t="shared" si="2"/>
        <v>4.0334</v>
      </c>
      <c r="L704" s="81">
        <f t="shared" si="3"/>
        <v>1.3861</v>
      </c>
    </row>
    <row r="705">
      <c r="A705" s="82">
        <v>44677.0</v>
      </c>
      <c r="B705" s="82">
        <v>44677.0</v>
      </c>
      <c r="C705" s="66" t="s">
        <v>95</v>
      </c>
      <c r="D705" s="66" t="s">
        <v>198</v>
      </c>
      <c r="E705" s="66">
        <v>0.0</v>
      </c>
      <c r="F705" s="66" t="s">
        <v>205</v>
      </c>
      <c r="G705" s="66">
        <f t="shared" si="11"/>
        <v>0</v>
      </c>
      <c r="H705" s="66">
        <v>7.3703</v>
      </c>
      <c r="I705" s="66">
        <v>12.1358</v>
      </c>
      <c r="J705" s="66">
        <v>8.8134</v>
      </c>
      <c r="K705" s="81">
        <f t="shared" si="2"/>
        <v>4.7655</v>
      </c>
      <c r="L705" s="81">
        <f t="shared" si="3"/>
        <v>1.4431</v>
      </c>
    </row>
    <row r="706">
      <c r="A706" s="82">
        <v>44677.0</v>
      </c>
      <c r="B706" s="82">
        <v>44677.0</v>
      </c>
      <c r="C706" s="66" t="s">
        <v>95</v>
      </c>
      <c r="D706" s="66" t="s">
        <v>198</v>
      </c>
      <c r="E706" s="66">
        <v>0.0</v>
      </c>
      <c r="F706" s="66" t="s">
        <v>205</v>
      </c>
      <c r="G706" s="66">
        <f t="shared" si="11"/>
        <v>0</v>
      </c>
      <c r="H706" s="66">
        <v>7.3238</v>
      </c>
      <c r="I706" s="66">
        <v>10.7153</v>
      </c>
      <c r="J706" s="66">
        <v>8.6877</v>
      </c>
      <c r="K706" s="81">
        <f t="shared" si="2"/>
        <v>3.3915</v>
      </c>
      <c r="L706" s="81">
        <f t="shared" si="3"/>
        <v>1.3639</v>
      </c>
    </row>
    <row r="707">
      <c r="A707" s="82">
        <v>44677.0</v>
      </c>
      <c r="B707" s="82">
        <v>44677.0</v>
      </c>
      <c r="C707" s="66" t="s">
        <v>212</v>
      </c>
      <c r="D707" s="66" t="s">
        <v>198</v>
      </c>
      <c r="E707" s="66">
        <v>0.0</v>
      </c>
      <c r="F707" s="66" t="s">
        <v>204</v>
      </c>
      <c r="G707" s="66">
        <f t="shared" si="11"/>
        <v>0</v>
      </c>
      <c r="H707" s="66">
        <v>6.2842</v>
      </c>
      <c r="I707" s="66">
        <v>7.9237</v>
      </c>
      <c r="J707" s="66">
        <v>6.8055</v>
      </c>
      <c r="K707" s="81">
        <f t="shared" si="2"/>
        <v>1.6395</v>
      </c>
      <c r="L707" s="81">
        <f t="shared" si="3"/>
        <v>0.5213</v>
      </c>
    </row>
    <row r="708">
      <c r="A708" s="82">
        <v>44677.0</v>
      </c>
      <c r="B708" s="82">
        <v>44677.0</v>
      </c>
      <c r="C708" s="66" t="s">
        <v>213</v>
      </c>
      <c r="D708" s="66" t="s">
        <v>198</v>
      </c>
      <c r="E708" s="66">
        <v>0.0</v>
      </c>
      <c r="F708" s="66" t="s">
        <v>204</v>
      </c>
      <c r="G708" s="66">
        <f t="shared" si="11"/>
        <v>0</v>
      </c>
      <c r="H708" s="66">
        <v>7.3484</v>
      </c>
      <c r="I708" s="66">
        <v>9.7842</v>
      </c>
      <c r="J708" s="66">
        <v>7.7977</v>
      </c>
      <c r="K708" s="81">
        <f t="shared" si="2"/>
        <v>2.4358</v>
      </c>
      <c r="L708" s="81">
        <f t="shared" si="3"/>
        <v>0.4493</v>
      </c>
    </row>
    <row r="709">
      <c r="A709" s="82">
        <v>44677.0</v>
      </c>
      <c r="B709" s="82">
        <v>44677.0</v>
      </c>
      <c r="C709" s="66" t="s">
        <v>213</v>
      </c>
      <c r="D709" s="66" t="s">
        <v>198</v>
      </c>
      <c r="E709" s="66">
        <v>0.0</v>
      </c>
      <c r="F709" s="66" t="s">
        <v>204</v>
      </c>
      <c r="G709" s="66">
        <f t="shared" si="11"/>
        <v>0</v>
      </c>
      <c r="H709" s="66">
        <v>7.4031</v>
      </c>
      <c r="I709" s="66">
        <v>9.8187</v>
      </c>
      <c r="J709" s="66">
        <v>7.9261</v>
      </c>
      <c r="K709" s="81">
        <f t="shared" si="2"/>
        <v>2.4156</v>
      </c>
      <c r="L709" s="81">
        <f t="shared" si="3"/>
        <v>0.523</v>
      </c>
    </row>
    <row r="710">
      <c r="A710" s="82">
        <v>44677.0</v>
      </c>
      <c r="B710" s="82">
        <v>44677.0</v>
      </c>
      <c r="C710" s="66" t="s">
        <v>213</v>
      </c>
      <c r="D710" s="66" t="s">
        <v>198</v>
      </c>
      <c r="E710" s="66">
        <v>0.0</v>
      </c>
      <c r="F710" s="66" t="s">
        <v>204</v>
      </c>
      <c r="G710" s="66">
        <f t="shared" si="11"/>
        <v>0</v>
      </c>
      <c r="H710" s="66">
        <v>7.3261</v>
      </c>
      <c r="I710" s="66">
        <v>9.476</v>
      </c>
      <c r="J710" s="66">
        <v>7.8325</v>
      </c>
      <c r="K710" s="81">
        <f t="shared" si="2"/>
        <v>2.1499</v>
      </c>
      <c r="L710" s="81">
        <f t="shared" si="3"/>
        <v>0.5064</v>
      </c>
    </row>
    <row r="711">
      <c r="A711" s="82">
        <v>44677.0</v>
      </c>
      <c r="B711" s="82">
        <v>44677.0</v>
      </c>
      <c r="C711" s="66" t="s">
        <v>212</v>
      </c>
      <c r="D711" s="66" t="s">
        <v>198</v>
      </c>
      <c r="E711" s="66">
        <v>0.0</v>
      </c>
      <c r="F711" s="66" t="s">
        <v>204</v>
      </c>
      <c r="G711" s="66">
        <f t="shared" si="11"/>
        <v>0</v>
      </c>
      <c r="H711" s="66">
        <v>7.3519</v>
      </c>
      <c r="I711" s="66">
        <v>8.5122</v>
      </c>
      <c r="J711" s="66">
        <v>7.7123</v>
      </c>
      <c r="K711" s="81">
        <f t="shared" si="2"/>
        <v>1.1603</v>
      </c>
      <c r="L711" s="81">
        <f t="shared" si="3"/>
        <v>0.3604</v>
      </c>
    </row>
    <row r="712">
      <c r="A712" s="82">
        <v>44677.0</v>
      </c>
      <c r="B712" s="82">
        <v>44677.0</v>
      </c>
      <c r="C712" s="66" t="s">
        <v>212</v>
      </c>
      <c r="D712" s="66" t="s">
        <v>198</v>
      </c>
      <c r="E712" s="66">
        <v>0.0</v>
      </c>
      <c r="F712" s="66" t="s">
        <v>204</v>
      </c>
      <c r="G712" s="66">
        <f t="shared" si="11"/>
        <v>0</v>
      </c>
      <c r="H712" s="66">
        <v>7.3359</v>
      </c>
      <c r="I712" s="66">
        <v>8.7713</v>
      </c>
      <c r="J712" s="66">
        <v>7.7844</v>
      </c>
      <c r="K712" s="81">
        <f t="shared" si="2"/>
        <v>1.4354</v>
      </c>
      <c r="L712" s="81">
        <f t="shared" si="3"/>
        <v>0.4485</v>
      </c>
    </row>
    <row r="713">
      <c r="A713" s="82">
        <v>44677.0</v>
      </c>
      <c r="B713" s="82">
        <v>44677.0</v>
      </c>
      <c r="C713" s="66" t="s">
        <v>213</v>
      </c>
      <c r="D713" s="66" t="s">
        <v>198</v>
      </c>
      <c r="E713" s="66">
        <v>0.0</v>
      </c>
      <c r="F713" s="66" t="s">
        <v>204</v>
      </c>
      <c r="G713" s="66">
        <f t="shared" si="11"/>
        <v>0</v>
      </c>
      <c r="H713" s="66">
        <v>7.3008</v>
      </c>
      <c r="I713" s="66">
        <v>10.1817</v>
      </c>
      <c r="J713" s="66">
        <v>7.948</v>
      </c>
      <c r="K713" s="81">
        <f t="shared" si="2"/>
        <v>2.8809</v>
      </c>
      <c r="L713" s="81">
        <f t="shared" si="3"/>
        <v>0.6472</v>
      </c>
    </row>
    <row r="714">
      <c r="A714" s="82">
        <v>44678.0</v>
      </c>
      <c r="B714" s="82">
        <v>44678.0</v>
      </c>
      <c r="C714" s="66">
        <v>2029.0</v>
      </c>
      <c r="D714" s="66" t="s">
        <v>203</v>
      </c>
      <c r="E714" s="66">
        <v>0.0</v>
      </c>
      <c r="F714" s="66" t="s">
        <v>205</v>
      </c>
      <c r="G714" s="66">
        <f t="shared" si="11"/>
        <v>0</v>
      </c>
      <c r="H714" s="66">
        <v>0.0</v>
      </c>
      <c r="I714" s="66">
        <v>8.191</v>
      </c>
      <c r="J714" s="66">
        <v>4.606</v>
      </c>
      <c r="K714" s="81">
        <f t="shared" si="2"/>
        <v>8.191</v>
      </c>
      <c r="L714" s="81">
        <f t="shared" si="3"/>
        <v>4.606</v>
      </c>
    </row>
    <row r="715">
      <c r="A715" s="82">
        <v>44678.0</v>
      </c>
      <c r="B715" s="82">
        <v>44678.0</v>
      </c>
      <c r="C715" s="66">
        <v>2032.0</v>
      </c>
      <c r="D715" s="66" t="s">
        <v>203</v>
      </c>
      <c r="E715" s="66">
        <v>0.0</v>
      </c>
      <c r="F715" s="66" t="s">
        <v>205</v>
      </c>
      <c r="G715" s="66">
        <f t="shared" si="11"/>
        <v>0</v>
      </c>
      <c r="H715" s="66">
        <v>0.0</v>
      </c>
      <c r="I715" s="66">
        <v>3.213</v>
      </c>
      <c r="J715" s="66">
        <v>1.76</v>
      </c>
      <c r="K715" s="81">
        <f t="shared" si="2"/>
        <v>3.213</v>
      </c>
      <c r="L715" s="81">
        <f t="shared" si="3"/>
        <v>1.76</v>
      </c>
    </row>
    <row r="716">
      <c r="A716" s="82">
        <v>44678.0</v>
      </c>
      <c r="B716" s="82">
        <v>44678.0</v>
      </c>
      <c r="C716" s="66">
        <v>2092.0</v>
      </c>
      <c r="D716" s="66" t="s">
        <v>203</v>
      </c>
      <c r="E716" s="66">
        <v>0.0</v>
      </c>
      <c r="F716" s="66" t="s">
        <v>204</v>
      </c>
      <c r="G716" s="66">
        <f t="shared" si="11"/>
        <v>0</v>
      </c>
      <c r="H716" s="66">
        <v>0.0</v>
      </c>
      <c r="I716" s="66">
        <v>0.102</v>
      </c>
      <c r="J716" s="66">
        <v>0.0472</v>
      </c>
      <c r="K716" s="81">
        <f t="shared" si="2"/>
        <v>0.102</v>
      </c>
      <c r="L716" s="81">
        <f t="shared" si="3"/>
        <v>0.0472</v>
      </c>
    </row>
    <row r="717">
      <c r="A717" s="82">
        <v>44678.0</v>
      </c>
      <c r="B717" s="82">
        <v>44678.0</v>
      </c>
      <c r="C717" s="66">
        <v>1472.0</v>
      </c>
      <c r="D717" s="66" t="s">
        <v>203</v>
      </c>
      <c r="E717" s="66">
        <v>0.0</v>
      </c>
      <c r="F717" s="66" t="s">
        <v>204</v>
      </c>
      <c r="G717" s="66">
        <f t="shared" si="11"/>
        <v>0</v>
      </c>
      <c r="H717" s="66">
        <v>0.0</v>
      </c>
      <c r="I717" s="66">
        <v>0.567</v>
      </c>
      <c r="J717" s="66">
        <v>0.257</v>
      </c>
      <c r="K717" s="81">
        <f t="shared" si="2"/>
        <v>0.567</v>
      </c>
      <c r="L717" s="81">
        <f t="shared" si="3"/>
        <v>0.257</v>
      </c>
    </row>
    <row r="718">
      <c r="A718" s="82">
        <v>44678.0</v>
      </c>
      <c r="B718" s="82">
        <v>44678.0</v>
      </c>
      <c r="C718" s="66">
        <v>2032.0</v>
      </c>
      <c r="D718" s="66" t="s">
        <v>203</v>
      </c>
      <c r="E718" s="66">
        <v>0.0</v>
      </c>
      <c r="F718" s="66" t="s">
        <v>204</v>
      </c>
      <c r="G718" s="66">
        <f t="shared" si="11"/>
        <v>0</v>
      </c>
      <c r="H718" s="66">
        <v>0.0</v>
      </c>
      <c r="I718" s="66">
        <v>0.331</v>
      </c>
      <c r="J718" s="66">
        <v>0.181</v>
      </c>
      <c r="K718" s="81">
        <f t="shared" si="2"/>
        <v>0.331</v>
      </c>
      <c r="L718" s="81">
        <f t="shared" si="3"/>
        <v>0.181</v>
      </c>
    </row>
    <row r="719">
      <c r="A719" s="82">
        <v>44678.0</v>
      </c>
      <c r="B719" s="82">
        <v>44678.0</v>
      </c>
      <c r="C719" s="66">
        <v>2088.0</v>
      </c>
      <c r="D719" s="66" t="s">
        <v>203</v>
      </c>
      <c r="E719" s="66">
        <v>0.0</v>
      </c>
      <c r="F719" s="66" t="s">
        <v>205</v>
      </c>
      <c r="G719" s="66">
        <f t="shared" si="11"/>
        <v>0</v>
      </c>
      <c r="H719" s="66">
        <v>0.0</v>
      </c>
      <c r="I719" s="66">
        <v>2.55</v>
      </c>
      <c r="J719" s="66">
        <v>1.284</v>
      </c>
      <c r="K719" s="81">
        <f t="shared" si="2"/>
        <v>2.55</v>
      </c>
      <c r="L719" s="81">
        <f t="shared" si="3"/>
        <v>1.284</v>
      </c>
    </row>
    <row r="720">
      <c r="A720" s="82">
        <v>44678.0</v>
      </c>
      <c r="B720" s="82">
        <v>44678.0</v>
      </c>
      <c r="C720" s="66">
        <v>2092.0</v>
      </c>
      <c r="D720" s="66" t="s">
        <v>203</v>
      </c>
      <c r="E720" s="66">
        <v>0.0</v>
      </c>
      <c r="F720" s="66" t="s">
        <v>205</v>
      </c>
      <c r="G720" s="66">
        <f t="shared" si="11"/>
        <v>0</v>
      </c>
      <c r="H720" s="66">
        <v>0.0</v>
      </c>
      <c r="I720" s="66">
        <v>2.118</v>
      </c>
      <c r="J720" s="66">
        <v>0.983</v>
      </c>
      <c r="K720" s="81">
        <f t="shared" si="2"/>
        <v>2.118</v>
      </c>
      <c r="L720" s="81">
        <f t="shared" si="3"/>
        <v>0.983</v>
      </c>
    </row>
    <row r="721">
      <c r="A721" s="82">
        <v>44678.0</v>
      </c>
      <c r="B721" s="82">
        <v>44678.0</v>
      </c>
      <c r="C721" s="66">
        <v>2015.0</v>
      </c>
      <c r="D721" s="66" t="s">
        <v>203</v>
      </c>
      <c r="E721" s="66">
        <v>0.0</v>
      </c>
      <c r="F721" s="66" t="s">
        <v>204</v>
      </c>
      <c r="G721" s="66">
        <f t="shared" si="11"/>
        <v>0</v>
      </c>
      <c r="H721" s="66">
        <v>0.0</v>
      </c>
      <c r="I721" s="66">
        <v>0.555</v>
      </c>
      <c r="J721" s="66">
        <v>0.2754</v>
      </c>
      <c r="K721" s="81">
        <f t="shared" si="2"/>
        <v>0.555</v>
      </c>
      <c r="L721" s="81">
        <f t="shared" si="3"/>
        <v>0.2754</v>
      </c>
    </row>
    <row r="722">
      <c r="A722" s="82">
        <v>44678.0</v>
      </c>
      <c r="B722" s="82">
        <v>44678.0</v>
      </c>
      <c r="C722" s="66">
        <v>2028.0</v>
      </c>
      <c r="D722" s="66" t="s">
        <v>203</v>
      </c>
      <c r="E722" s="66">
        <v>0.0</v>
      </c>
      <c r="F722" s="66" t="s">
        <v>204</v>
      </c>
      <c r="G722" s="66">
        <f t="shared" si="11"/>
        <v>0</v>
      </c>
      <c r="H722" s="66">
        <v>0.0</v>
      </c>
      <c r="I722" s="66">
        <v>0.274</v>
      </c>
      <c r="J722" s="66">
        <v>0.146</v>
      </c>
      <c r="K722" s="81">
        <f t="shared" si="2"/>
        <v>0.274</v>
      </c>
      <c r="L722" s="81">
        <f t="shared" si="3"/>
        <v>0.146</v>
      </c>
    </row>
    <row r="723">
      <c r="A723" s="82">
        <v>44678.0</v>
      </c>
      <c r="B723" s="82">
        <v>44678.0</v>
      </c>
      <c r="C723" s="66">
        <v>2029.0</v>
      </c>
      <c r="D723" s="66" t="s">
        <v>203</v>
      </c>
      <c r="E723" s="66">
        <v>0.0</v>
      </c>
      <c r="F723" s="66" t="s">
        <v>204</v>
      </c>
      <c r="G723" s="66">
        <f t="shared" si="11"/>
        <v>0</v>
      </c>
      <c r="H723" s="66">
        <v>0.0</v>
      </c>
      <c r="I723" s="66">
        <v>0.538</v>
      </c>
      <c r="J723" s="66">
        <v>0.302</v>
      </c>
      <c r="K723" s="81">
        <f t="shared" si="2"/>
        <v>0.538</v>
      </c>
      <c r="L723" s="81">
        <f t="shared" si="3"/>
        <v>0.302</v>
      </c>
    </row>
    <row r="724">
      <c r="A724" s="82">
        <v>44678.0</v>
      </c>
      <c r="B724" s="82">
        <v>44678.0</v>
      </c>
      <c r="C724" s="66">
        <v>2385.0</v>
      </c>
      <c r="D724" s="66" t="s">
        <v>203</v>
      </c>
      <c r="E724" s="66">
        <v>0.0</v>
      </c>
      <c r="F724" s="66" t="s">
        <v>205</v>
      </c>
      <c r="G724" s="66">
        <f t="shared" si="11"/>
        <v>0</v>
      </c>
      <c r="H724" s="66">
        <v>0.0</v>
      </c>
      <c r="I724" s="66">
        <v>4.126</v>
      </c>
      <c r="J724" s="66">
        <v>2.073</v>
      </c>
      <c r="K724" s="81">
        <f t="shared" si="2"/>
        <v>4.126</v>
      </c>
      <c r="L724" s="81">
        <f t="shared" si="3"/>
        <v>2.073</v>
      </c>
    </row>
    <row r="725">
      <c r="A725" s="82">
        <v>44678.0</v>
      </c>
      <c r="B725" s="82">
        <v>44678.0</v>
      </c>
      <c r="C725" s="66">
        <v>2092.0</v>
      </c>
      <c r="D725" s="66" t="s">
        <v>203</v>
      </c>
      <c r="E725" s="66">
        <v>1.0</v>
      </c>
      <c r="F725" s="66" t="s">
        <v>204</v>
      </c>
      <c r="G725" s="66">
        <f t="shared" si="11"/>
        <v>0</v>
      </c>
      <c r="H725" s="66">
        <v>0.0</v>
      </c>
      <c r="I725" s="66">
        <v>1.106</v>
      </c>
      <c r="J725" s="66">
        <v>0.596</v>
      </c>
      <c r="K725" s="81">
        <f t="shared" si="2"/>
        <v>1.106</v>
      </c>
      <c r="L725" s="81">
        <f t="shared" si="3"/>
        <v>0.596</v>
      </c>
    </row>
    <row r="726">
      <c r="A726" s="82">
        <v>44678.0</v>
      </c>
      <c r="B726" s="82">
        <v>44678.0</v>
      </c>
      <c r="C726" s="66">
        <v>2088.0</v>
      </c>
      <c r="D726" s="66" t="s">
        <v>203</v>
      </c>
      <c r="E726" s="66">
        <v>0.0</v>
      </c>
      <c r="F726" s="66" t="s">
        <v>204</v>
      </c>
      <c r="G726" s="66">
        <f t="shared" si="11"/>
        <v>0</v>
      </c>
      <c r="H726" s="66">
        <v>0.0</v>
      </c>
      <c r="I726" s="66">
        <v>0.171</v>
      </c>
      <c r="J726" s="66">
        <v>0.0852</v>
      </c>
      <c r="K726" s="81">
        <f t="shared" si="2"/>
        <v>0.171</v>
      </c>
      <c r="L726" s="81">
        <f t="shared" si="3"/>
        <v>0.0852</v>
      </c>
    </row>
    <row r="727">
      <c r="A727" s="82">
        <v>44678.0</v>
      </c>
      <c r="B727" s="82">
        <v>44678.0</v>
      </c>
      <c r="C727" s="66">
        <v>2015.0</v>
      </c>
      <c r="D727" s="66" t="s">
        <v>203</v>
      </c>
      <c r="E727" s="66">
        <v>0.0</v>
      </c>
      <c r="F727" s="66" t="s">
        <v>205</v>
      </c>
      <c r="G727" s="66">
        <f t="shared" si="11"/>
        <v>0</v>
      </c>
      <c r="H727" s="66">
        <v>0.0</v>
      </c>
      <c r="I727" s="66">
        <v>3.208</v>
      </c>
      <c r="J727" s="66">
        <v>1.711</v>
      </c>
      <c r="K727" s="81">
        <f t="shared" si="2"/>
        <v>3.208</v>
      </c>
      <c r="L727" s="81">
        <f t="shared" si="3"/>
        <v>1.711</v>
      </c>
    </row>
    <row r="728">
      <c r="A728" s="82">
        <v>44678.0</v>
      </c>
      <c r="B728" s="82">
        <v>44678.0</v>
      </c>
      <c r="C728" s="66">
        <v>2086.0</v>
      </c>
      <c r="D728" s="66" t="s">
        <v>203</v>
      </c>
      <c r="E728" s="66">
        <v>0.0</v>
      </c>
      <c r="F728" s="66" t="s">
        <v>204</v>
      </c>
      <c r="G728" s="66">
        <f t="shared" si="11"/>
        <v>0</v>
      </c>
      <c r="H728" s="66">
        <v>0.0</v>
      </c>
      <c r="I728" s="66">
        <v>0.19</v>
      </c>
      <c r="J728" s="66">
        <v>0.09</v>
      </c>
      <c r="K728" s="81">
        <f t="shared" si="2"/>
        <v>0.19</v>
      </c>
      <c r="L728" s="81">
        <f t="shared" si="3"/>
        <v>0.09</v>
      </c>
    </row>
    <row r="729">
      <c r="A729" s="82">
        <v>44678.0</v>
      </c>
      <c r="B729" s="82">
        <v>44678.0</v>
      </c>
      <c r="C729" s="66">
        <v>2004.0</v>
      </c>
      <c r="D729" s="66" t="s">
        <v>203</v>
      </c>
      <c r="E729" s="66">
        <v>0.0</v>
      </c>
      <c r="F729" s="66" t="s">
        <v>204</v>
      </c>
      <c r="G729" s="66">
        <f t="shared" si="11"/>
        <v>0</v>
      </c>
      <c r="H729" s="66">
        <v>0.0</v>
      </c>
      <c r="I729" s="66">
        <v>0.686</v>
      </c>
      <c r="J729" s="66">
        <v>0.34</v>
      </c>
      <c r="K729" s="81">
        <f t="shared" si="2"/>
        <v>0.686</v>
      </c>
      <c r="L729" s="81">
        <f t="shared" si="3"/>
        <v>0.34</v>
      </c>
    </row>
    <row r="730">
      <c r="A730" s="82">
        <v>44678.0</v>
      </c>
      <c r="B730" s="82">
        <v>44678.0</v>
      </c>
      <c r="C730" s="66">
        <v>2385.0</v>
      </c>
      <c r="D730" s="66" t="s">
        <v>203</v>
      </c>
      <c r="E730" s="66">
        <v>0.0</v>
      </c>
      <c r="F730" s="66" t="s">
        <v>204</v>
      </c>
      <c r="G730" s="66">
        <f t="shared" si="11"/>
        <v>0</v>
      </c>
      <c r="H730" s="66">
        <v>0.0</v>
      </c>
      <c r="I730" s="66">
        <v>0.956</v>
      </c>
      <c r="J730" s="66">
        <v>0.444</v>
      </c>
      <c r="K730" s="81">
        <f t="shared" si="2"/>
        <v>0.956</v>
      </c>
      <c r="L730" s="81">
        <f t="shared" si="3"/>
        <v>0.444</v>
      </c>
    </row>
    <row r="731">
      <c r="A731" s="82">
        <v>44678.0</v>
      </c>
      <c r="B731" s="82">
        <v>44678.0</v>
      </c>
      <c r="C731" s="66">
        <v>1472.0</v>
      </c>
      <c r="D731" s="66" t="s">
        <v>203</v>
      </c>
      <c r="E731" s="66">
        <v>0.0</v>
      </c>
      <c r="F731" s="66" t="s">
        <v>205</v>
      </c>
      <c r="G731" s="66">
        <f t="shared" si="11"/>
        <v>0</v>
      </c>
      <c r="H731" s="66">
        <v>0.0</v>
      </c>
      <c r="I731" s="66">
        <v>3.044</v>
      </c>
      <c r="J731" s="66">
        <v>1.527</v>
      </c>
      <c r="K731" s="81">
        <f t="shared" si="2"/>
        <v>3.044</v>
      </c>
      <c r="L731" s="81">
        <f t="shared" si="3"/>
        <v>1.527</v>
      </c>
    </row>
    <row r="732">
      <c r="A732" s="82">
        <v>44678.0</v>
      </c>
      <c r="B732" s="82">
        <v>44678.0</v>
      </c>
      <c r="C732" s="66">
        <v>2007.0</v>
      </c>
      <c r="D732" s="66" t="s">
        <v>203</v>
      </c>
      <c r="E732" s="66">
        <v>0.0</v>
      </c>
      <c r="F732" s="66" t="s">
        <v>204</v>
      </c>
      <c r="G732" s="66">
        <f t="shared" si="11"/>
        <v>0</v>
      </c>
      <c r="H732" s="66">
        <v>0.0</v>
      </c>
      <c r="I732" s="66">
        <v>0.552</v>
      </c>
      <c r="J732" s="66">
        <v>0.286</v>
      </c>
      <c r="K732" s="81">
        <f t="shared" si="2"/>
        <v>0.552</v>
      </c>
      <c r="L732" s="81">
        <f t="shared" si="3"/>
        <v>0.286</v>
      </c>
    </row>
    <row r="733">
      <c r="A733" s="82">
        <v>44678.0</v>
      </c>
      <c r="B733" s="82">
        <v>44678.0</v>
      </c>
      <c r="C733" s="66">
        <v>2007.0</v>
      </c>
      <c r="D733" s="66" t="s">
        <v>203</v>
      </c>
      <c r="E733" s="66">
        <v>0.0</v>
      </c>
      <c r="F733" s="66" t="s">
        <v>205</v>
      </c>
      <c r="G733" s="66">
        <f t="shared" si="11"/>
        <v>0</v>
      </c>
      <c r="H733" s="66">
        <v>0.0</v>
      </c>
      <c r="I733" s="66">
        <v>3.577</v>
      </c>
      <c r="J733" s="66">
        <v>1.923</v>
      </c>
      <c r="K733" s="81">
        <f t="shared" si="2"/>
        <v>3.577</v>
      </c>
      <c r="L733" s="81">
        <f t="shared" si="3"/>
        <v>1.923</v>
      </c>
    </row>
    <row r="734">
      <c r="A734" s="82">
        <v>44678.0</v>
      </c>
      <c r="B734" s="82">
        <v>44678.0</v>
      </c>
      <c r="C734" s="66">
        <v>2086.0</v>
      </c>
      <c r="D734" s="66" t="s">
        <v>203</v>
      </c>
      <c r="E734" s="66">
        <v>0.0</v>
      </c>
      <c r="F734" s="66" t="s">
        <v>205</v>
      </c>
      <c r="G734" s="66">
        <f t="shared" si="11"/>
        <v>0</v>
      </c>
      <c r="H734" s="66">
        <v>0.0</v>
      </c>
      <c r="I734" s="66">
        <v>2.211</v>
      </c>
      <c r="J734" s="66">
        <v>1.097</v>
      </c>
      <c r="K734" s="81">
        <f t="shared" si="2"/>
        <v>2.211</v>
      </c>
      <c r="L734" s="81">
        <f t="shared" si="3"/>
        <v>1.097</v>
      </c>
    </row>
    <row r="735">
      <c r="A735" s="82">
        <v>44678.0</v>
      </c>
      <c r="B735" s="82">
        <v>44678.0</v>
      </c>
      <c r="C735" s="66">
        <v>2029.0</v>
      </c>
      <c r="D735" s="66" t="s">
        <v>203</v>
      </c>
      <c r="E735" s="66">
        <v>1.0</v>
      </c>
      <c r="F735" s="66" t="s">
        <v>204</v>
      </c>
      <c r="G735" s="66">
        <f t="shared" si="11"/>
        <v>0</v>
      </c>
      <c r="H735" s="66">
        <v>0.0</v>
      </c>
      <c r="I735" s="66">
        <v>1.344</v>
      </c>
      <c r="J735" s="66">
        <v>0.812</v>
      </c>
      <c r="K735" s="81">
        <f t="shared" si="2"/>
        <v>1.344</v>
      </c>
      <c r="L735" s="81">
        <f t="shared" si="3"/>
        <v>0.812</v>
      </c>
    </row>
    <row r="736">
      <c r="A736" s="82">
        <v>44678.0</v>
      </c>
      <c r="B736" s="82">
        <v>44678.0</v>
      </c>
      <c r="C736" s="66">
        <v>2092.0</v>
      </c>
      <c r="D736" s="66" t="s">
        <v>203</v>
      </c>
      <c r="E736" s="66">
        <v>1.0</v>
      </c>
      <c r="F736" s="66" t="s">
        <v>205</v>
      </c>
      <c r="G736" s="66">
        <f t="shared" si="11"/>
        <v>0</v>
      </c>
      <c r="H736" s="66">
        <v>0.0</v>
      </c>
      <c r="I736" s="66">
        <v>1.988</v>
      </c>
      <c r="J736" s="66">
        <v>1.253</v>
      </c>
      <c r="K736" s="81">
        <f t="shared" si="2"/>
        <v>1.988</v>
      </c>
      <c r="L736" s="81">
        <f t="shared" si="3"/>
        <v>1.253</v>
      </c>
    </row>
    <row r="737">
      <c r="A737" s="82">
        <v>44678.0</v>
      </c>
      <c r="B737" s="82">
        <v>44678.0</v>
      </c>
      <c r="C737" s="66">
        <v>2028.0</v>
      </c>
      <c r="D737" s="66" t="s">
        <v>203</v>
      </c>
      <c r="E737" s="66">
        <v>0.0</v>
      </c>
      <c r="F737" s="66" t="s">
        <v>205</v>
      </c>
      <c r="G737" s="66">
        <f t="shared" si="11"/>
        <v>0</v>
      </c>
      <c r="H737" s="66">
        <v>0.0</v>
      </c>
      <c r="I737" s="66">
        <v>3.688</v>
      </c>
      <c r="J737" s="66">
        <v>2.141</v>
      </c>
      <c r="K737" s="81">
        <f t="shared" si="2"/>
        <v>3.688</v>
      </c>
      <c r="L737" s="81">
        <f t="shared" si="3"/>
        <v>2.141</v>
      </c>
    </row>
    <row r="738">
      <c r="A738" s="82">
        <v>44678.0</v>
      </c>
      <c r="B738" s="82">
        <v>44678.0</v>
      </c>
      <c r="C738" s="66">
        <v>2029.0</v>
      </c>
      <c r="D738" s="66" t="s">
        <v>203</v>
      </c>
      <c r="E738" s="66">
        <v>1.0</v>
      </c>
      <c r="F738" s="66" t="s">
        <v>205</v>
      </c>
      <c r="G738" s="66">
        <f t="shared" si="11"/>
        <v>0</v>
      </c>
      <c r="H738" s="66">
        <v>0.0</v>
      </c>
      <c r="I738" s="66">
        <v>3.872</v>
      </c>
      <c r="J738" s="66">
        <v>2.449</v>
      </c>
      <c r="K738" s="81">
        <f t="shared" si="2"/>
        <v>3.872</v>
      </c>
      <c r="L738" s="81">
        <f t="shared" si="3"/>
        <v>2.449</v>
      </c>
    </row>
    <row r="739">
      <c r="A739" s="82">
        <v>44678.0</v>
      </c>
      <c r="B739" s="82">
        <v>44678.0</v>
      </c>
      <c r="C739" s="66">
        <v>2004.0</v>
      </c>
      <c r="D739" s="66" t="s">
        <v>203</v>
      </c>
      <c r="E739" s="66">
        <v>0.0</v>
      </c>
      <c r="F739" s="66" t="s">
        <v>205</v>
      </c>
      <c r="G739" s="66">
        <f t="shared" si="11"/>
        <v>0</v>
      </c>
      <c r="H739" s="66">
        <v>0.0</v>
      </c>
      <c r="I739" s="66">
        <v>4.623</v>
      </c>
      <c r="J739" s="66">
        <v>2.554</v>
      </c>
      <c r="K739" s="81">
        <f t="shared" si="2"/>
        <v>4.623</v>
      </c>
      <c r="L739" s="81">
        <f t="shared" si="3"/>
        <v>2.554</v>
      </c>
      <c r="N739" s="66" t="s">
        <v>210</v>
      </c>
    </row>
    <row r="740">
      <c r="A740" s="82">
        <v>44678.0</v>
      </c>
      <c r="B740" s="82">
        <v>44678.0</v>
      </c>
      <c r="C740" s="66">
        <v>2023.0</v>
      </c>
      <c r="D740" s="66" t="s">
        <v>198</v>
      </c>
      <c r="E740" s="66">
        <v>0.0</v>
      </c>
      <c r="F740" s="66" t="s">
        <v>205</v>
      </c>
      <c r="G740" s="66">
        <f t="shared" si="11"/>
        <v>0</v>
      </c>
      <c r="H740" s="66">
        <v>0.0</v>
      </c>
      <c r="I740" s="66">
        <v>5.449</v>
      </c>
      <c r="J740" s="66">
        <v>3.0508</v>
      </c>
      <c r="K740" s="81">
        <f t="shared" si="2"/>
        <v>5.449</v>
      </c>
      <c r="L740" s="81">
        <f t="shared" si="3"/>
        <v>3.0508</v>
      </c>
    </row>
    <row r="741">
      <c r="A741" s="82">
        <v>44678.0</v>
      </c>
      <c r="B741" s="82">
        <v>44678.0</v>
      </c>
      <c r="C741" s="66">
        <v>2091.0</v>
      </c>
      <c r="D741" s="66" t="s">
        <v>198</v>
      </c>
      <c r="E741" s="66">
        <v>0.0</v>
      </c>
      <c r="F741" s="66" t="s">
        <v>204</v>
      </c>
      <c r="G741" s="66">
        <f t="shared" si="11"/>
        <v>0</v>
      </c>
      <c r="H741" s="66">
        <v>0.0</v>
      </c>
      <c r="I741" s="66">
        <v>0.57</v>
      </c>
      <c r="J741" s="66">
        <v>0.2418</v>
      </c>
      <c r="K741" s="81">
        <f t="shared" si="2"/>
        <v>0.57</v>
      </c>
      <c r="L741" s="81">
        <f t="shared" si="3"/>
        <v>0.2418</v>
      </c>
    </row>
    <row r="742">
      <c r="A742" s="82">
        <v>44678.0</v>
      </c>
      <c r="B742" s="82">
        <v>44678.0</v>
      </c>
      <c r="C742" s="66">
        <v>2004.0</v>
      </c>
      <c r="D742" s="66" t="s">
        <v>198</v>
      </c>
      <c r="E742" s="66">
        <v>1.0</v>
      </c>
      <c r="F742" s="66" t="s">
        <v>205</v>
      </c>
      <c r="G742" s="66">
        <f t="shared" si="11"/>
        <v>0</v>
      </c>
      <c r="H742" s="66">
        <v>0.0</v>
      </c>
      <c r="I742" s="66">
        <v>8.6991</v>
      </c>
      <c r="J742" s="66">
        <v>4.8098</v>
      </c>
      <c r="K742" s="81">
        <f t="shared" si="2"/>
        <v>8.6991</v>
      </c>
      <c r="L742" s="81">
        <f t="shared" si="3"/>
        <v>4.8098</v>
      </c>
    </row>
    <row r="743">
      <c r="A743" s="82">
        <v>44678.0</v>
      </c>
      <c r="B743" s="82">
        <v>44678.0</v>
      </c>
      <c r="C743" s="66">
        <v>2091.0</v>
      </c>
      <c r="D743" s="66" t="s">
        <v>198</v>
      </c>
      <c r="E743" s="66">
        <v>1.0</v>
      </c>
      <c r="F743" s="66" t="s">
        <v>204</v>
      </c>
      <c r="G743" s="66">
        <f t="shared" si="11"/>
        <v>0</v>
      </c>
      <c r="H743" s="66">
        <v>0.0</v>
      </c>
      <c r="I743" s="66">
        <v>1.104</v>
      </c>
      <c r="J743" s="66">
        <v>0.6092</v>
      </c>
      <c r="K743" s="81">
        <f t="shared" si="2"/>
        <v>1.104</v>
      </c>
      <c r="L743" s="81">
        <f t="shared" si="3"/>
        <v>0.6092</v>
      </c>
    </row>
    <row r="744">
      <c r="A744" s="82">
        <v>44678.0</v>
      </c>
      <c r="B744" s="82">
        <v>44678.0</v>
      </c>
      <c r="C744" s="66">
        <v>2089.0</v>
      </c>
      <c r="D744" s="66" t="s">
        <v>198</v>
      </c>
      <c r="E744" s="66">
        <v>1.0</v>
      </c>
      <c r="F744" s="66" t="s">
        <v>205</v>
      </c>
      <c r="G744" s="66">
        <f t="shared" si="11"/>
        <v>0</v>
      </c>
      <c r="H744" s="66">
        <v>0.0</v>
      </c>
      <c r="I744" s="66">
        <v>4.466</v>
      </c>
      <c r="J744" s="66">
        <v>2.662</v>
      </c>
      <c r="K744" s="81">
        <f t="shared" si="2"/>
        <v>4.466</v>
      </c>
      <c r="L744" s="81">
        <f t="shared" si="3"/>
        <v>2.662</v>
      </c>
    </row>
    <row r="745">
      <c r="A745" s="82">
        <v>44678.0</v>
      </c>
      <c r="B745" s="82">
        <v>44678.0</v>
      </c>
      <c r="C745" s="66">
        <v>2004.0</v>
      </c>
      <c r="D745" s="66" t="s">
        <v>198</v>
      </c>
      <c r="E745" s="66">
        <v>0.0</v>
      </c>
      <c r="F745" s="66" t="s">
        <v>204</v>
      </c>
      <c r="G745" s="66">
        <f t="shared" si="11"/>
        <v>0</v>
      </c>
      <c r="H745" s="66">
        <v>0.0</v>
      </c>
      <c r="I745" s="66">
        <v>1.5017</v>
      </c>
      <c r="J745" s="66">
        <v>0.7525</v>
      </c>
      <c r="K745" s="81">
        <f t="shared" si="2"/>
        <v>1.5017</v>
      </c>
      <c r="L745" s="81">
        <f t="shared" si="3"/>
        <v>0.7525</v>
      </c>
    </row>
    <row r="746">
      <c r="A746" s="82">
        <v>44678.0</v>
      </c>
      <c r="B746" s="82">
        <v>44678.0</v>
      </c>
      <c r="C746" s="66">
        <v>2029.0</v>
      </c>
      <c r="D746" s="66" t="s">
        <v>198</v>
      </c>
      <c r="E746" s="66">
        <v>0.0</v>
      </c>
      <c r="F746" s="66" t="s">
        <v>205</v>
      </c>
      <c r="G746" s="66">
        <f t="shared" si="11"/>
        <v>0</v>
      </c>
      <c r="H746" s="66">
        <v>0.0</v>
      </c>
      <c r="I746" s="66">
        <v>5.05</v>
      </c>
      <c r="J746" s="66">
        <v>2.8392</v>
      </c>
      <c r="K746" s="81">
        <f t="shared" si="2"/>
        <v>5.05</v>
      </c>
      <c r="L746" s="81">
        <f t="shared" si="3"/>
        <v>2.8392</v>
      </c>
    </row>
    <row r="747">
      <c r="A747" s="82">
        <v>44678.0</v>
      </c>
      <c r="B747" s="82">
        <v>44678.0</v>
      </c>
      <c r="C747" s="66">
        <v>2092.0</v>
      </c>
      <c r="D747" s="66" t="s">
        <v>198</v>
      </c>
      <c r="E747" s="66">
        <v>1.0</v>
      </c>
      <c r="F747" s="66" t="s">
        <v>205</v>
      </c>
      <c r="G747" s="66">
        <f t="shared" si="11"/>
        <v>0</v>
      </c>
      <c r="H747" s="66">
        <v>0.0</v>
      </c>
      <c r="I747" s="66">
        <v>9.5756</v>
      </c>
      <c r="J747" s="66">
        <v>5.8114</v>
      </c>
      <c r="K747" s="81">
        <f t="shared" si="2"/>
        <v>9.5756</v>
      </c>
      <c r="L747" s="81">
        <f t="shared" si="3"/>
        <v>5.8114</v>
      </c>
      <c r="N747" s="66" t="s">
        <v>210</v>
      </c>
    </row>
    <row r="748">
      <c r="A748" s="82">
        <v>44678.0</v>
      </c>
      <c r="B748" s="82">
        <v>44678.0</v>
      </c>
      <c r="C748" s="66">
        <v>2091.0</v>
      </c>
      <c r="D748" s="66" t="s">
        <v>198</v>
      </c>
      <c r="E748" s="66">
        <v>0.0</v>
      </c>
      <c r="F748" s="66" t="s">
        <v>205</v>
      </c>
      <c r="G748" s="66">
        <f t="shared" si="11"/>
        <v>0</v>
      </c>
      <c r="H748" s="66">
        <v>0.0</v>
      </c>
      <c r="I748" s="66">
        <v>4.026</v>
      </c>
      <c r="J748" s="66">
        <v>1.834</v>
      </c>
      <c r="K748" s="81">
        <f t="shared" si="2"/>
        <v>4.026</v>
      </c>
      <c r="L748" s="81">
        <f t="shared" si="3"/>
        <v>1.834</v>
      </c>
    </row>
    <row r="749">
      <c r="A749" s="82">
        <v>44678.0</v>
      </c>
      <c r="B749" s="82">
        <v>44678.0</v>
      </c>
      <c r="C749" s="66">
        <v>2090.0</v>
      </c>
      <c r="D749" s="66" t="s">
        <v>198</v>
      </c>
      <c r="E749" s="66">
        <v>1.0</v>
      </c>
      <c r="F749" s="66" t="s">
        <v>204</v>
      </c>
      <c r="G749" s="66">
        <f t="shared" si="11"/>
        <v>0</v>
      </c>
      <c r="H749" s="66">
        <v>0.0</v>
      </c>
      <c r="I749" s="66">
        <v>1.4486</v>
      </c>
      <c r="J749" s="66">
        <v>0.7866</v>
      </c>
      <c r="K749" s="81">
        <f t="shared" si="2"/>
        <v>1.4486</v>
      </c>
      <c r="L749" s="81">
        <f t="shared" si="3"/>
        <v>0.7866</v>
      </c>
    </row>
    <row r="750">
      <c r="A750" s="82">
        <v>44678.0</v>
      </c>
      <c r="B750" s="82">
        <v>44678.0</v>
      </c>
      <c r="C750" s="66">
        <v>2088.0</v>
      </c>
      <c r="D750" s="66" t="s">
        <v>198</v>
      </c>
      <c r="E750" s="66">
        <v>0.0</v>
      </c>
      <c r="F750" s="66" t="s">
        <v>205</v>
      </c>
      <c r="G750" s="66">
        <f t="shared" si="11"/>
        <v>0</v>
      </c>
      <c r="H750" s="66">
        <v>0.0</v>
      </c>
      <c r="I750" s="66">
        <v>6.7886</v>
      </c>
      <c r="J750" s="66">
        <v>3.4679</v>
      </c>
      <c r="K750" s="81">
        <f t="shared" si="2"/>
        <v>6.7886</v>
      </c>
      <c r="L750" s="81">
        <f t="shared" si="3"/>
        <v>3.4679</v>
      </c>
    </row>
    <row r="751">
      <c r="A751" s="82">
        <v>44678.0</v>
      </c>
      <c r="B751" s="82">
        <v>44678.0</v>
      </c>
      <c r="C751" s="66">
        <v>2087.0</v>
      </c>
      <c r="D751" s="66" t="s">
        <v>198</v>
      </c>
      <c r="E751" s="66">
        <v>1.0</v>
      </c>
      <c r="F751" s="66" t="s">
        <v>204</v>
      </c>
      <c r="G751" s="66">
        <f t="shared" si="11"/>
        <v>0</v>
      </c>
      <c r="H751" s="66">
        <v>0.0</v>
      </c>
      <c r="I751" s="66">
        <v>3.2059</v>
      </c>
      <c r="J751" s="66">
        <v>1.7342</v>
      </c>
      <c r="K751" s="81">
        <f t="shared" si="2"/>
        <v>3.2059</v>
      </c>
      <c r="L751" s="81">
        <f t="shared" si="3"/>
        <v>1.7342</v>
      </c>
    </row>
    <row r="752">
      <c r="A752" s="82">
        <v>44678.0</v>
      </c>
      <c r="B752" s="82">
        <v>44678.0</v>
      </c>
      <c r="C752" s="66">
        <v>2020.0</v>
      </c>
      <c r="D752" s="66" t="s">
        <v>198</v>
      </c>
      <c r="E752" s="66">
        <v>0.0</v>
      </c>
      <c r="F752" s="66" t="s">
        <v>205</v>
      </c>
      <c r="G752" s="66">
        <f t="shared" si="11"/>
        <v>0</v>
      </c>
      <c r="H752" s="66">
        <v>0.0</v>
      </c>
      <c r="I752" s="66">
        <v>5.879</v>
      </c>
      <c r="J752" s="66">
        <v>3.2193</v>
      </c>
      <c r="K752" s="81">
        <f t="shared" si="2"/>
        <v>5.879</v>
      </c>
      <c r="L752" s="81">
        <f t="shared" si="3"/>
        <v>3.2193</v>
      </c>
    </row>
    <row r="753">
      <c r="A753" s="82">
        <v>44678.0</v>
      </c>
      <c r="B753" s="82">
        <v>44678.0</v>
      </c>
      <c r="C753" s="66">
        <v>2085.0</v>
      </c>
      <c r="D753" s="66" t="s">
        <v>198</v>
      </c>
      <c r="E753" s="66">
        <v>0.0</v>
      </c>
      <c r="F753" s="66" t="s">
        <v>205</v>
      </c>
      <c r="G753" s="66">
        <f t="shared" si="11"/>
        <v>0</v>
      </c>
      <c r="H753" s="66">
        <v>0.0</v>
      </c>
      <c r="I753" s="66">
        <v>5.999</v>
      </c>
      <c r="J753" s="66">
        <v>5.263</v>
      </c>
      <c r="K753" s="81">
        <f t="shared" si="2"/>
        <v>5.999</v>
      </c>
      <c r="L753" s="81">
        <f t="shared" si="3"/>
        <v>5.263</v>
      </c>
    </row>
    <row r="754">
      <c r="A754" s="82">
        <v>44678.0</v>
      </c>
      <c r="B754" s="82">
        <v>44678.0</v>
      </c>
      <c r="C754" s="66" t="s">
        <v>214</v>
      </c>
      <c r="D754" s="66" t="s">
        <v>198</v>
      </c>
      <c r="E754" s="66">
        <v>0.0</v>
      </c>
      <c r="F754" s="66" t="s">
        <v>199</v>
      </c>
      <c r="G754" s="66">
        <f t="shared" si="11"/>
        <v>0</v>
      </c>
      <c r="H754" s="66">
        <v>0.0</v>
      </c>
      <c r="I754" s="66">
        <v>0.6169</v>
      </c>
      <c r="J754" s="66">
        <v>0.3071</v>
      </c>
      <c r="K754" s="81">
        <f t="shared" si="2"/>
        <v>0.6169</v>
      </c>
      <c r="L754" s="81">
        <f t="shared" si="3"/>
        <v>0.3071</v>
      </c>
    </row>
    <row r="755">
      <c r="A755" s="82">
        <v>44678.0</v>
      </c>
      <c r="B755" s="82">
        <v>44678.0</v>
      </c>
      <c r="C755" s="66">
        <v>2086.0</v>
      </c>
      <c r="D755" s="66" t="s">
        <v>198</v>
      </c>
      <c r="E755" s="66">
        <v>0.0</v>
      </c>
      <c r="F755" s="66" t="s">
        <v>205</v>
      </c>
      <c r="G755" s="66">
        <f t="shared" si="11"/>
        <v>0</v>
      </c>
      <c r="H755" s="66">
        <v>0.0</v>
      </c>
      <c r="I755" s="66">
        <v>6.6059</v>
      </c>
      <c r="J755" s="66">
        <v>2.9093</v>
      </c>
      <c r="K755" s="81">
        <f t="shared" si="2"/>
        <v>6.6059</v>
      </c>
      <c r="L755" s="81">
        <f t="shared" si="3"/>
        <v>2.9093</v>
      </c>
    </row>
    <row r="756">
      <c r="A756" s="82">
        <v>44678.0</v>
      </c>
      <c r="B756" s="82">
        <v>44678.0</v>
      </c>
      <c r="C756" s="66">
        <v>2020.0</v>
      </c>
      <c r="D756" s="66" t="s">
        <v>198</v>
      </c>
      <c r="E756" s="66">
        <v>0.0</v>
      </c>
      <c r="F756" s="66" t="s">
        <v>204</v>
      </c>
      <c r="G756" s="66">
        <f t="shared" si="11"/>
        <v>0</v>
      </c>
      <c r="H756" s="66">
        <v>0.0</v>
      </c>
      <c r="I756" s="66">
        <v>0.601</v>
      </c>
      <c r="J756" s="66">
        <v>0.3039</v>
      </c>
      <c r="K756" s="81">
        <f t="shared" si="2"/>
        <v>0.601</v>
      </c>
      <c r="L756" s="81">
        <f t="shared" si="3"/>
        <v>0.3039</v>
      </c>
    </row>
    <row r="757">
      <c r="A757" s="82">
        <v>44678.0</v>
      </c>
      <c r="B757" s="82">
        <v>44678.0</v>
      </c>
      <c r="C757" s="66">
        <v>2087.0</v>
      </c>
      <c r="D757" s="66" t="s">
        <v>198</v>
      </c>
      <c r="E757" s="66">
        <v>0.0</v>
      </c>
      <c r="F757" s="66" t="s">
        <v>204</v>
      </c>
      <c r="G757" s="66">
        <f t="shared" si="11"/>
        <v>0</v>
      </c>
      <c r="H757" s="66">
        <v>0.0</v>
      </c>
      <c r="I757" s="66">
        <v>2.1071</v>
      </c>
      <c r="J757" s="66">
        <v>0.9552</v>
      </c>
      <c r="K757" s="81">
        <f t="shared" si="2"/>
        <v>2.1071</v>
      </c>
      <c r="L757" s="81">
        <f t="shared" si="3"/>
        <v>0.9552</v>
      </c>
    </row>
    <row r="758">
      <c r="A758" s="82">
        <v>44678.0</v>
      </c>
      <c r="B758" s="82">
        <v>44678.0</v>
      </c>
      <c r="C758" s="66">
        <v>2030.0</v>
      </c>
      <c r="D758" s="66" t="s">
        <v>198</v>
      </c>
      <c r="E758" s="66">
        <v>0.0</v>
      </c>
      <c r="F758" s="66" t="s">
        <v>205</v>
      </c>
      <c r="G758" s="66">
        <f t="shared" si="11"/>
        <v>0</v>
      </c>
      <c r="H758" s="66">
        <v>0.0</v>
      </c>
      <c r="I758" s="66">
        <v>3.002</v>
      </c>
      <c r="J758" s="66">
        <v>1.698</v>
      </c>
      <c r="K758" s="81">
        <f t="shared" si="2"/>
        <v>3.002</v>
      </c>
      <c r="L758" s="81">
        <f t="shared" si="3"/>
        <v>1.698</v>
      </c>
    </row>
    <row r="759">
      <c r="A759" s="82">
        <v>44678.0</v>
      </c>
      <c r="B759" s="82">
        <v>44678.0</v>
      </c>
      <c r="C759" s="66">
        <v>2092.0</v>
      </c>
      <c r="D759" s="66" t="s">
        <v>198</v>
      </c>
      <c r="E759" s="66">
        <v>0.0</v>
      </c>
      <c r="F759" s="66" t="s">
        <v>205</v>
      </c>
      <c r="G759" s="66">
        <f t="shared" si="11"/>
        <v>0</v>
      </c>
      <c r="H759" s="66">
        <v>0.0</v>
      </c>
      <c r="I759" s="66">
        <v>1.2072</v>
      </c>
      <c r="J759" s="66">
        <v>0.5212</v>
      </c>
      <c r="K759" s="81">
        <f t="shared" si="2"/>
        <v>1.2072</v>
      </c>
      <c r="L759" s="81">
        <f t="shared" si="3"/>
        <v>0.5212</v>
      </c>
    </row>
    <row r="760">
      <c r="A760" s="82">
        <v>44678.0</v>
      </c>
      <c r="B760" s="82">
        <v>44678.0</v>
      </c>
      <c r="C760" s="66">
        <v>2090.0</v>
      </c>
      <c r="D760" s="66" t="s">
        <v>198</v>
      </c>
      <c r="E760" s="66">
        <v>0.0</v>
      </c>
      <c r="F760" s="66" t="s">
        <v>204</v>
      </c>
      <c r="G760" s="66">
        <f t="shared" si="11"/>
        <v>0</v>
      </c>
      <c r="H760" s="66">
        <v>0.0</v>
      </c>
      <c r="I760" s="66">
        <v>0.6778</v>
      </c>
      <c r="J760" s="66">
        <v>0.3299</v>
      </c>
      <c r="K760" s="81">
        <f t="shared" si="2"/>
        <v>0.6778</v>
      </c>
      <c r="L760" s="81">
        <f t="shared" si="3"/>
        <v>0.3299</v>
      </c>
    </row>
    <row r="761">
      <c r="A761" s="82">
        <v>44678.0</v>
      </c>
      <c r="B761" s="82">
        <v>44678.0</v>
      </c>
      <c r="C761" s="66">
        <v>2090.0</v>
      </c>
      <c r="D761" s="66" t="s">
        <v>198</v>
      </c>
      <c r="E761" s="66">
        <v>0.0</v>
      </c>
      <c r="F761" s="66" t="s">
        <v>205</v>
      </c>
      <c r="G761" s="66">
        <f t="shared" si="11"/>
        <v>0</v>
      </c>
      <c r="H761" s="66">
        <v>0.0</v>
      </c>
      <c r="I761" s="66">
        <v>6.7417</v>
      </c>
      <c r="J761" s="66">
        <v>5.5394</v>
      </c>
      <c r="K761" s="81">
        <f t="shared" si="2"/>
        <v>6.7417</v>
      </c>
      <c r="L761" s="81">
        <f t="shared" si="3"/>
        <v>5.5394</v>
      </c>
    </row>
    <row r="762">
      <c r="A762" s="82">
        <v>44678.0</v>
      </c>
      <c r="B762" s="82">
        <v>44678.0</v>
      </c>
      <c r="C762" s="66">
        <v>2085.0</v>
      </c>
      <c r="D762" s="66" t="s">
        <v>198</v>
      </c>
      <c r="E762" s="66">
        <v>0.0</v>
      </c>
      <c r="F762" s="66" t="s">
        <v>204</v>
      </c>
      <c r="G762" s="66">
        <f t="shared" si="11"/>
        <v>0</v>
      </c>
      <c r="H762" s="66">
        <v>0.0</v>
      </c>
      <c r="I762" s="66">
        <v>1.024</v>
      </c>
      <c r="J762" s="66">
        <v>0.4951</v>
      </c>
      <c r="K762" s="81">
        <f t="shared" si="2"/>
        <v>1.024</v>
      </c>
      <c r="L762" s="81">
        <f t="shared" si="3"/>
        <v>0.4951</v>
      </c>
    </row>
    <row r="763">
      <c r="A763" s="82">
        <v>44678.0</v>
      </c>
      <c r="B763" s="82">
        <v>44678.0</v>
      </c>
      <c r="C763" s="66">
        <v>2026.0</v>
      </c>
      <c r="D763" s="66" t="s">
        <v>198</v>
      </c>
      <c r="E763" s="66">
        <v>0.0</v>
      </c>
      <c r="F763" s="66" t="s">
        <v>204</v>
      </c>
      <c r="G763" s="66">
        <f t="shared" si="11"/>
        <v>0</v>
      </c>
      <c r="H763" s="66">
        <v>0.0</v>
      </c>
      <c r="I763" s="66">
        <v>0.746</v>
      </c>
      <c r="J763" s="66">
        <v>0.4139</v>
      </c>
      <c r="K763" s="81">
        <f t="shared" si="2"/>
        <v>0.746</v>
      </c>
      <c r="L763" s="81">
        <f t="shared" si="3"/>
        <v>0.4139</v>
      </c>
    </row>
    <row r="764">
      <c r="A764" s="82">
        <v>44678.0</v>
      </c>
      <c r="B764" s="82">
        <v>44678.0</v>
      </c>
      <c r="C764" s="66">
        <v>2088.0</v>
      </c>
      <c r="D764" s="66" t="s">
        <v>198</v>
      </c>
      <c r="E764" s="66">
        <v>0.0</v>
      </c>
      <c r="F764" s="66" t="s">
        <v>204</v>
      </c>
      <c r="G764" s="66">
        <f t="shared" si="11"/>
        <v>0</v>
      </c>
      <c r="H764" s="66">
        <v>0.0</v>
      </c>
      <c r="I764" s="66">
        <v>0.9856</v>
      </c>
      <c r="J764" s="66">
        <v>0.4717</v>
      </c>
      <c r="K764" s="81">
        <f t="shared" si="2"/>
        <v>0.9856</v>
      </c>
      <c r="L764" s="81">
        <f t="shared" si="3"/>
        <v>0.4717</v>
      </c>
    </row>
    <row r="765">
      <c r="A765" s="82">
        <v>44678.0</v>
      </c>
      <c r="B765" s="82">
        <v>44678.0</v>
      </c>
      <c r="C765" s="66">
        <v>2030.0</v>
      </c>
      <c r="D765" s="66" t="s">
        <v>198</v>
      </c>
      <c r="E765" s="66">
        <v>0.0</v>
      </c>
      <c r="F765" s="66" t="s">
        <v>204</v>
      </c>
      <c r="G765" s="66">
        <f t="shared" si="11"/>
        <v>0</v>
      </c>
      <c r="H765" s="66">
        <v>0.0</v>
      </c>
      <c r="I765" s="66">
        <v>0.297</v>
      </c>
      <c r="J765" s="66">
        <v>0.1634</v>
      </c>
      <c r="K765" s="81">
        <f t="shared" si="2"/>
        <v>0.297</v>
      </c>
      <c r="L765" s="81">
        <f t="shared" si="3"/>
        <v>0.1634</v>
      </c>
    </row>
    <row r="766">
      <c r="A766" s="82">
        <v>44678.0</v>
      </c>
      <c r="B766" s="82">
        <v>44678.0</v>
      </c>
      <c r="C766" s="66">
        <v>2093.0</v>
      </c>
      <c r="D766" s="66" t="s">
        <v>198</v>
      </c>
      <c r="E766" s="66">
        <v>0.0</v>
      </c>
      <c r="F766" s="66" t="s">
        <v>205</v>
      </c>
      <c r="G766" s="66">
        <f t="shared" si="11"/>
        <v>0</v>
      </c>
      <c r="H766" s="66">
        <v>0.0</v>
      </c>
      <c r="I766" s="66">
        <v>6.3935</v>
      </c>
      <c r="J766" s="66">
        <v>2.583</v>
      </c>
      <c r="K766" s="81">
        <f t="shared" si="2"/>
        <v>6.3935</v>
      </c>
      <c r="L766" s="81">
        <f t="shared" si="3"/>
        <v>2.583</v>
      </c>
    </row>
    <row r="767">
      <c r="A767" s="82">
        <v>44678.0</v>
      </c>
      <c r="B767" s="82">
        <v>44678.0</v>
      </c>
      <c r="C767" s="66">
        <v>2029.0</v>
      </c>
      <c r="D767" s="66" t="s">
        <v>198</v>
      </c>
      <c r="E767" s="66">
        <v>0.0</v>
      </c>
      <c r="F767" s="66" t="s">
        <v>204</v>
      </c>
      <c r="G767" s="66">
        <f t="shared" si="11"/>
        <v>0</v>
      </c>
      <c r="H767" s="66">
        <v>0.0</v>
      </c>
      <c r="I767" s="66">
        <v>0.21</v>
      </c>
      <c r="J767" s="66">
        <v>0.1165</v>
      </c>
      <c r="K767" s="81">
        <f t="shared" si="2"/>
        <v>0.21</v>
      </c>
      <c r="L767" s="81">
        <f t="shared" si="3"/>
        <v>0.1165</v>
      </c>
      <c r="N767" s="66" t="s">
        <v>215</v>
      </c>
    </row>
    <row r="768">
      <c r="A768" s="82">
        <v>44678.0</v>
      </c>
      <c r="B768" s="82">
        <v>44678.0</v>
      </c>
      <c r="C768" s="66">
        <v>2028.0</v>
      </c>
      <c r="D768" s="66" t="s">
        <v>198</v>
      </c>
      <c r="E768" s="66">
        <v>0.0</v>
      </c>
      <c r="F768" s="66" t="s">
        <v>204</v>
      </c>
      <c r="G768" s="66">
        <f t="shared" si="11"/>
        <v>0</v>
      </c>
      <c r="H768" s="66">
        <v>0.0</v>
      </c>
      <c r="I768" s="66">
        <v>0.348</v>
      </c>
      <c r="J768" s="66">
        <v>0.1871</v>
      </c>
      <c r="K768" s="81">
        <f t="shared" si="2"/>
        <v>0.348</v>
      </c>
      <c r="L768" s="81">
        <f t="shared" si="3"/>
        <v>0.1871</v>
      </c>
    </row>
    <row r="769">
      <c r="A769" s="82">
        <v>44678.0</v>
      </c>
      <c r="B769" s="82">
        <v>44678.0</v>
      </c>
      <c r="C769" s="66">
        <v>2006.0</v>
      </c>
      <c r="D769" s="66" t="s">
        <v>198</v>
      </c>
      <c r="E769" s="66">
        <v>0.0</v>
      </c>
      <c r="F769" s="66" t="s">
        <v>205</v>
      </c>
      <c r="G769" s="66">
        <f t="shared" si="11"/>
        <v>0</v>
      </c>
      <c r="H769" s="66">
        <v>0.0</v>
      </c>
      <c r="I769" s="66">
        <v>6.339</v>
      </c>
      <c r="J769" s="66">
        <v>3.5353</v>
      </c>
      <c r="K769" s="81">
        <f t="shared" si="2"/>
        <v>6.339</v>
      </c>
      <c r="L769" s="81">
        <f t="shared" si="3"/>
        <v>3.5353</v>
      </c>
    </row>
    <row r="770">
      <c r="A770" s="82">
        <v>44678.0</v>
      </c>
      <c r="B770" s="82">
        <v>44678.0</v>
      </c>
      <c r="C770" s="66">
        <v>2086.0</v>
      </c>
      <c r="D770" s="66" t="s">
        <v>198</v>
      </c>
      <c r="E770" s="66">
        <v>0.0</v>
      </c>
      <c r="F770" s="66" t="s">
        <v>204</v>
      </c>
      <c r="G770" s="66">
        <f t="shared" si="11"/>
        <v>0</v>
      </c>
      <c r="H770" s="66">
        <v>0.0</v>
      </c>
      <c r="I770" s="66">
        <v>0.5302</v>
      </c>
      <c r="J770" s="66">
        <v>0.2599</v>
      </c>
      <c r="K770" s="81">
        <f t="shared" si="2"/>
        <v>0.5302</v>
      </c>
      <c r="L770" s="81">
        <f t="shared" si="3"/>
        <v>0.2599</v>
      </c>
    </row>
    <row r="771">
      <c r="A771" s="82">
        <v>44678.0</v>
      </c>
      <c r="B771" s="82">
        <v>44678.0</v>
      </c>
      <c r="C771" s="66">
        <v>2092.0</v>
      </c>
      <c r="D771" s="66" t="s">
        <v>198</v>
      </c>
      <c r="E771" s="66">
        <v>1.0</v>
      </c>
      <c r="F771" s="66" t="s">
        <v>204</v>
      </c>
      <c r="G771" s="66">
        <f t="shared" si="11"/>
        <v>0</v>
      </c>
      <c r="H771" s="66">
        <v>0.0</v>
      </c>
      <c r="I771" s="66">
        <v>1.9468</v>
      </c>
      <c r="J771" s="66">
        <v>1.0978</v>
      </c>
      <c r="K771" s="81">
        <f t="shared" si="2"/>
        <v>1.9468</v>
      </c>
      <c r="L771" s="81">
        <f t="shared" si="3"/>
        <v>1.0978</v>
      </c>
    </row>
    <row r="772">
      <c r="A772" s="82">
        <v>44678.0</v>
      </c>
      <c r="B772" s="82">
        <v>44678.0</v>
      </c>
      <c r="C772" s="66">
        <v>2025.0</v>
      </c>
      <c r="D772" s="66" t="s">
        <v>198</v>
      </c>
      <c r="E772" s="66">
        <v>0.0</v>
      </c>
      <c r="F772" s="66" t="s">
        <v>204</v>
      </c>
      <c r="G772" s="66">
        <f t="shared" si="11"/>
        <v>0</v>
      </c>
      <c r="H772" s="66">
        <v>0.0</v>
      </c>
      <c r="I772" s="66">
        <v>0.567</v>
      </c>
      <c r="J772" s="66">
        <v>0.3084</v>
      </c>
      <c r="K772" s="81">
        <f t="shared" si="2"/>
        <v>0.567</v>
      </c>
      <c r="L772" s="81">
        <f t="shared" si="3"/>
        <v>0.3084</v>
      </c>
    </row>
    <row r="773">
      <c r="A773" s="82">
        <v>44678.0</v>
      </c>
      <c r="B773" s="82">
        <v>44678.0</v>
      </c>
      <c r="C773" s="66">
        <v>2029.0</v>
      </c>
      <c r="D773" s="66" t="s">
        <v>198</v>
      </c>
      <c r="E773" s="66">
        <v>1.0</v>
      </c>
      <c r="F773" s="66" t="s">
        <v>204</v>
      </c>
      <c r="G773" s="66">
        <f t="shared" si="11"/>
        <v>0</v>
      </c>
      <c r="H773" s="66">
        <v>0.0</v>
      </c>
      <c r="I773" s="66">
        <v>1.022</v>
      </c>
      <c r="J773" s="66">
        <v>0.6242</v>
      </c>
      <c r="K773" s="81">
        <f t="shared" si="2"/>
        <v>1.022</v>
      </c>
      <c r="L773" s="81">
        <f t="shared" si="3"/>
        <v>0.6242</v>
      </c>
      <c r="M773" s="66">
        <v>5.0</v>
      </c>
    </row>
    <row r="774">
      <c r="A774" s="82">
        <v>44678.0</v>
      </c>
      <c r="B774" s="82">
        <v>44678.0</v>
      </c>
      <c r="C774" s="66">
        <v>2088.0</v>
      </c>
      <c r="D774" s="66" t="s">
        <v>198</v>
      </c>
      <c r="E774" s="66">
        <v>1.0</v>
      </c>
      <c r="F774" s="66" t="s">
        <v>204</v>
      </c>
      <c r="G774" s="66">
        <f t="shared" si="11"/>
        <v>0</v>
      </c>
      <c r="H774" s="66">
        <v>0.0</v>
      </c>
      <c r="I774" s="66">
        <v>1.6178</v>
      </c>
      <c r="J774" s="66">
        <v>0.8862</v>
      </c>
      <c r="K774" s="81">
        <f t="shared" si="2"/>
        <v>1.6178</v>
      </c>
      <c r="L774" s="81">
        <f t="shared" si="3"/>
        <v>0.8862</v>
      </c>
      <c r="M774" s="66">
        <v>2.1</v>
      </c>
    </row>
    <row r="775">
      <c r="A775" s="82">
        <v>44678.0</v>
      </c>
      <c r="B775" s="82">
        <v>44678.0</v>
      </c>
      <c r="C775" s="66">
        <v>2089.0</v>
      </c>
      <c r="D775" s="66" t="s">
        <v>198</v>
      </c>
      <c r="E775" s="66">
        <v>1.0</v>
      </c>
      <c r="F775" s="66" t="s">
        <v>204</v>
      </c>
      <c r="G775" s="66">
        <f t="shared" si="11"/>
        <v>0</v>
      </c>
      <c r="H775" s="66">
        <v>0.0</v>
      </c>
      <c r="I775" s="66">
        <v>1.599</v>
      </c>
      <c r="J775" s="66">
        <v>0.922</v>
      </c>
      <c r="K775" s="81">
        <f t="shared" si="2"/>
        <v>1.599</v>
      </c>
      <c r="L775" s="81">
        <f t="shared" si="3"/>
        <v>0.922</v>
      </c>
      <c r="M775" s="66">
        <v>3.0</v>
      </c>
    </row>
    <row r="776">
      <c r="A776" s="82">
        <v>44678.0</v>
      </c>
      <c r="B776" s="82">
        <v>44678.0</v>
      </c>
      <c r="C776" s="66" t="s">
        <v>216</v>
      </c>
      <c r="D776" s="66" t="s">
        <v>198</v>
      </c>
      <c r="E776" s="66">
        <v>0.0</v>
      </c>
      <c r="F776" s="66" t="s">
        <v>199</v>
      </c>
      <c r="G776" s="66">
        <f t="shared" si="11"/>
        <v>0</v>
      </c>
      <c r="H776" s="66">
        <v>0.0</v>
      </c>
      <c r="I776" s="66">
        <v>3.23</v>
      </c>
      <c r="J776" s="66">
        <v>1.6227</v>
      </c>
      <c r="K776" s="81">
        <f t="shared" si="2"/>
        <v>3.23</v>
      </c>
      <c r="L776" s="81">
        <f t="shared" si="3"/>
        <v>1.6227</v>
      </c>
      <c r="M776" s="66">
        <v>5.0</v>
      </c>
    </row>
    <row r="777">
      <c r="A777" s="82">
        <v>44678.0</v>
      </c>
      <c r="B777" s="82">
        <v>44678.0</v>
      </c>
      <c r="C777" s="66" t="s">
        <v>217</v>
      </c>
      <c r="D777" s="66" t="s">
        <v>198</v>
      </c>
      <c r="E777" s="66">
        <v>0.0</v>
      </c>
      <c r="F777" s="66" t="s">
        <v>199</v>
      </c>
      <c r="G777" s="66">
        <f t="shared" si="11"/>
        <v>0</v>
      </c>
      <c r="H777" s="66">
        <v>0.0</v>
      </c>
      <c r="I777" s="66">
        <v>2.5066</v>
      </c>
      <c r="J777" s="66">
        <v>1.1612</v>
      </c>
      <c r="K777" s="81">
        <f t="shared" si="2"/>
        <v>2.5066</v>
      </c>
      <c r="L777" s="81">
        <f t="shared" si="3"/>
        <v>1.1612</v>
      </c>
      <c r="M777" s="66">
        <v>3.0</v>
      </c>
    </row>
    <row r="778">
      <c r="A778" s="82">
        <v>44678.0</v>
      </c>
      <c r="B778" s="82">
        <v>44678.0</v>
      </c>
      <c r="C778" s="66">
        <v>2089.0</v>
      </c>
      <c r="D778" s="66" t="s">
        <v>198</v>
      </c>
      <c r="E778" s="66">
        <v>0.0</v>
      </c>
      <c r="F778" s="66" t="s">
        <v>204</v>
      </c>
      <c r="G778" s="66">
        <f t="shared" si="11"/>
        <v>0</v>
      </c>
      <c r="H778" s="66">
        <v>0.0</v>
      </c>
      <c r="I778" s="66">
        <v>0.102</v>
      </c>
      <c r="J778" s="66">
        <v>0.0407</v>
      </c>
      <c r="K778" s="81">
        <f t="shared" si="2"/>
        <v>0.102</v>
      </c>
      <c r="L778" s="81">
        <f t="shared" si="3"/>
        <v>0.0407</v>
      </c>
      <c r="M778" s="66">
        <v>4.0</v>
      </c>
    </row>
    <row r="779">
      <c r="A779" s="82">
        <v>44678.0</v>
      </c>
      <c r="B779" s="82">
        <v>44678.0</v>
      </c>
      <c r="C779" s="66">
        <v>2092.0</v>
      </c>
      <c r="D779" s="66" t="s">
        <v>198</v>
      </c>
      <c r="E779" s="66">
        <v>0.0</v>
      </c>
      <c r="F779" s="66" t="s">
        <v>204</v>
      </c>
      <c r="G779" s="66">
        <f t="shared" si="11"/>
        <v>0</v>
      </c>
      <c r="H779" s="66">
        <v>0.0</v>
      </c>
      <c r="I779" s="66">
        <v>0.1469</v>
      </c>
      <c r="J779" s="66">
        <v>0.0662</v>
      </c>
      <c r="K779" s="81">
        <f t="shared" si="2"/>
        <v>0.1469</v>
      </c>
      <c r="L779" s="81">
        <f t="shared" si="3"/>
        <v>0.0662</v>
      </c>
      <c r="M779" s="66">
        <v>4.0</v>
      </c>
    </row>
    <row r="780">
      <c r="A780" s="82">
        <v>44678.0</v>
      </c>
      <c r="B780" s="82">
        <v>44678.0</v>
      </c>
      <c r="C780" s="66">
        <v>2091.0</v>
      </c>
      <c r="D780" s="66" t="s">
        <v>198</v>
      </c>
      <c r="E780" s="66">
        <v>1.0</v>
      </c>
      <c r="F780" s="66" t="s">
        <v>205</v>
      </c>
      <c r="G780" s="66">
        <f t="shared" si="11"/>
        <v>0</v>
      </c>
      <c r="H780" s="66">
        <v>0.0</v>
      </c>
      <c r="I780" s="66">
        <v>4.104</v>
      </c>
      <c r="J780" s="66">
        <v>2.509</v>
      </c>
      <c r="K780" s="81">
        <f t="shared" si="2"/>
        <v>4.104</v>
      </c>
      <c r="L780" s="81">
        <f t="shared" si="3"/>
        <v>2.509</v>
      </c>
      <c r="M780" s="66">
        <v>5.0</v>
      </c>
    </row>
    <row r="781">
      <c r="A781" s="82">
        <v>44678.0</v>
      </c>
      <c r="B781" s="82">
        <v>44678.0</v>
      </c>
      <c r="C781" s="66">
        <v>2022.0</v>
      </c>
      <c r="D781" s="66" t="s">
        <v>198</v>
      </c>
      <c r="E781" s="66">
        <v>0.0</v>
      </c>
      <c r="F781" s="66" t="s">
        <v>204</v>
      </c>
      <c r="G781" s="66">
        <f t="shared" si="11"/>
        <v>0</v>
      </c>
      <c r="H781" s="66">
        <v>0.0</v>
      </c>
      <c r="I781" s="66">
        <v>0.18</v>
      </c>
      <c r="J781" s="66">
        <v>0.0959</v>
      </c>
      <c r="K781" s="81">
        <f t="shared" si="2"/>
        <v>0.18</v>
      </c>
      <c r="L781" s="81">
        <f t="shared" si="3"/>
        <v>0.0959</v>
      </c>
      <c r="M781" s="66">
        <v>2.2</v>
      </c>
    </row>
    <row r="782">
      <c r="A782" s="82">
        <v>44678.0</v>
      </c>
      <c r="B782" s="82">
        <v>44678.0</v>
      </c>
      <c r="C782" s="66">
        <v>2027.0</v>
      </c>
      <c r="D782" s="66" t="s">
        <v>198</v>
      </c>
      <c r="E782" s="66">
        <v>0.0</v>
      </c>
      <c r="F782" s="66" t="s">
        <v>204</v>
      </c>
      <c r="G782" s="66">
        <f t="shared" si="11"/>
        <v>0</v>
      </c>
      <c r="H782" s="66">
        <v>0.0</v>
      </c>
      <c r="I782" s="66">
        <v>0.154</v>
      </c>
      <c r="J782" s="66">
        <v>0.0808</v>
      </c>
      <c r="K782" s="81">
        <f t="shared" si="2"/>
        <v>0.154</v>
      </c>
      <c r="L782" s="81">
        <f t="shared" si="3"/>
        <v>0.0808</v>
      </c>
      <c r="M782" s="66">
        <v>1.0</v>
      </c>
    </row>
    <row r="783">
      <c r="A783" s="82">
        <v>44678.0</v>
      </c>
      <c r="B783" s="82">
        <v>44678.0</v>
      </c>
      <c r="C783" s="66">
        <v>2022.0</v>
      </c>
      <c r="D783" s="66" t="s">
        <v>198</v>
      </c>
      <c r="E783" s="66">
        <v>1.0</v>
      </c>
      <c r="F783" s="66" t="s">
        <v>204</v>
      </c>
      <c r="G783" s="66">
        <f t="shared" si="11"/>
        <v>0</v>
      </c>
      <c r="H783" s="66">
        <v>0.0</v>
      </c>
      <c r="I783" s="66">
        <v>1.203</v>
      </c>
      <c r="J783" s="66">
        <v>0.7201</v>
      </c>
      <c r="K783" s="81">
        <f t="shared" si="2"/>
        <v>1.203</v>
      </c>
      <c r="L783" s="81">
        <f t="shared" si="3"/>
        <v>0.7201</v>
      </c>
      <c r="M783" s="66">
        <v>1.0</v>
      </c>
    </row>
    <row r="784">
      <c r="A784" s="82">
        <v>44678.0</v>
      </c>
      <c r="B784" s="82">
        <v>44678.0</v>
      </c>
      <c r="C784" s="66">
        <v>2005.0</v>
      </c>
      <c r="D784" s="66" t="s">
        <v>198</v>
      </c>
      <c r="E784" s="66">
        <v>0.0</v>
      </c>
      <c r="F784" s="66" t="s">
        <v>205</v>
      </c>
      <c r="G784" s="66">
        <f t="shared" si="11"/>
        <v>0</v>
      </c>
      <c r="H784" s="66">
        <v>0.0</v>
      </c>
      <c r="I784" s="66">
        <v>8.86</v>
      </c>
      <c r="J784" s="66">
        <v>4.798</v>
      </c>
      <c r="K784" s="81">
        <f t="shared" si="2"/>
        <v>8.86</v>
      </c>
      <c r="L784" s="81">
        <f t="shared" si="3"/>
        <v>4.798</v>
      </c>
      <c r="N784" s="66" t="s">
        <v>218</v>
      </c>
    </row>
    <row r="785">
      <c r="A785" s="82">
        <v>44678.0</v>
      </c>
      <c r="B785" s="82">
        <v>44678.0</v>
      </c>
      <c r="C785" s="66">
        <v>2025.0</v>
      </c>
      <c r="D785" s="66" t="s">
        <v>198</v>
      </c>
      <c r="E785" s="66">
        <v>0.0</v>
      </c>
      <c r="F785" s="66" t="s">
        <v>205</v>
      </c>
      <c r="G785" s="66">
        <f t="shared" si="11"/>
        <v>0</v>
      </c>
      <c r="H785" s="66">
        <v>0.0</v>
      </c>
      <c r="I785" s="66">
        <v>5.77</v>
      </c>
      <c r="J785" s="66">
        <v>3.0751</v>
      </c>
      <c r="K785" s="81">
        <f t="shared" si="2"/>
        <v>5.77</v>
      </c>
      <c r="L785" s="81">
        <f t="shared" si="3"/>
        <v>3.0751</v>
      </c>
    </row>
    <row r="786">
      <c r="A786" s="82">
        <v>44678.0</v>
      </c>
      <c r="B786" s="82">
        <v>44678.0</v>
      </c>
      <c r="C786" s="66">
        <v>2029.0</v>
      </c>
      <c r="D786" s="66" t="s">
        <v>198</v>
      </c>
      <c r="E786" s="66">
        <v>1.0</v>
      </c>
      <c r="F786" s="66" t="s">
        <v>205</v>
      </c>
      <c r="G786" s="66">
        <f t="shared" si="11"/>
        <v>0</v>
      </c>
      <c r="H786" s="66">
        <v>0.0</v>
      </c>
      <c r="I786" s="66">
        <v>4.022</v>
      </c>
      <c r="J786" s="66">
        <v>2.5216</v>
      </c>
      <c r="K786" s="81">
        <f t="shared" si="2"/>
        <v>4.022</v>
      </c>
      <c r="L786" s="81">
        <f t="shared" si="3"/>
        <v>2.5216</v>
      </c>
    </row>
    <row r="787">
      <c r="A787" s="82">
        <v>44678.0</v>
      </c>
      <c r="B787" s="82">
        <v>44678.0</v>
      </c>
      <c r="C787" s="66">
        <v>2021.0</v>
      </c>
      <c r="D787" s="66" t="s">
        <v>198</v>
      </c>
      <c r="E787" s="66">
        <v>0.0</v>
      </c>
      <c r="F787" s="66" t="s">
        <v>204</v>
      </c>
      <c r="G787" s="66">
        <f t="shared" si="11"/>
        <v>0</v>
      </c>
      <c r="H787" s="66">
        <v>0.0</v>
      </c>
      <c r="I787" s="66">
        <v>0.33</v>
      </c>
      <c r="J787" s="66">
        <v>0.175</v>
      </c>
      <c r="K787" s="81">
        <f t="shared" si="2"/>
        <v>0.33</v>
      </c>
      <c r="L787" s="81">
        <f t="shared" si="3"/>
        <v>0.175</v>
      </c>
    </row>
    <row r="788">
      <c r="A788" s="82">
        <v>44678.0</v>
      </c>
      <c r="B788" s="82">
        <v>44678.0</v>
      </c>
      <c r="C788" s="66">
        <v>2030.0</v>
      </c>
      <c r="D788" s="66" t="s">
        <v>198</v>
      </c>
      <c r="E788" s="66">
        <v>1.0</v>
      </c>
      <c r="F788" s="66" t="s">
        <v>204</v>
      </c>
      <c r="G788" s="66">
        <f t="shared" si="11"/>
        <v>0</v>
      </c>
      <c r="H788" s="66">
        <v>0.0</v>
      </c>
      <c r="I788" s="66">
        <v>0.988</v>
      </c>
      <c r="J788" s="66">
        <v>0.5886</v>
      </c>
      <c r="K788" s="81">
        <f t="shared" si="2"/>
        <v>0.988</v>
      </c>
      <c r="L788" s="81">
        <f t="shared" si="3"/>
        <v>0.5886</v>
      </c>
    </row>
    <row r="789">
      <c r="A789" s="82">
        <v>44678.0</v>
      </c>
      <c r="B789" s="82">
        <v>44678.0</v>
      </c>
      <c r="C789" s="66">
        <v>2006.0</v>
      </c>
      <c r="D789" s="66" t="s">
        <v>198</v>
      </c>
      <c r="E789" s="66">
        <v>0.0</v>
      </c>
      <c r="F789" s="66" t="s">
        <v>204</v>
      </c>
      <c r="G789" s="66">
        <f t="shared" si="11"/>
        <v>0</v>
      </c>
      <c r="H789" s="66">
        <v>0.0</v>
      </c>
      <c r="I789" s="66">
        <v>0.625</v>
      </c>
      <c r="J789" s="66">
        <v>0.3236</v>
      </c>
      <c r="K789" s="81">
        <f t="shared" si="2"/>
        <v>0.625</v>
      </c>
      <c r="L789" s="81">
        <f t="shared" si="3"/>
        <v>0.3236</v>
      </c>
    </row>
    <row r="790">
      <c r="A790" s="82">
        <v>44678.0</v>
      </c>
      <c r="B790" s="82">
        <v>44678.0</v>
      </c>
      <c r="C790" s="66">
        <v>2032.0</v>
      </c>
      <c r="D790" s="66" t="s">
        <v>198</v>
      </c>
      <c r="E790" s="66">
        <v>0.0</v>
      </c>
      <c r="F790" s="66" t="s">
        <v>205</v>
      </c>
      <c r="G790" s="66">
        <f t="shared" si="11"/>
        <v>0</v>
      </c>
      <c r="H790" s="66">
        <v>0.0</v>
      </c>
      <c r="I790" s="66">
        <v>5.627</v>
      </c>
      <c r="J790" s="66">
        <v>3.1096</v>
      </c>
      <c r="K790" s="81">
        <f t="shared" si="2"/>
        <v>5.627</v>
      </c>
      <c r="L790" s="81">
        <f t="shared" si="3"/>
        <v>3.1096</v>
      </c>
    </row>
    <row r="791">
      <c r="A791" s="82">
        <v>44678.0</v>
      </c>
      <c r="B791" s="82">
        <v>44678.0</v>
      </c>
      <c r="C791" s="66">
        <v>2024.0</v>
      </c>
      <c r="D791" s="66" t="s">
        <v>198</v>
      </c>
      <c r="E791" s="66">
        <v>0.0</v>
      </c>
      <c r="F791" s="66" t="s">
        <v>204</v>
      </c>
      <c r="G791" s="66">
        <f t="shared" si="11"/>
        <v>0</v>
      </c>
      <c r="H791" s="66">
        <v>0.0</v>
      </c>
      <c r="I791" s="66">
        <v>0.612</v>
      </c>
      <c r="J791" s="66">
        <v>0.3201</v>
      </c>
      <c r="K791" s="81">
        <f t="shared" si="2"/>
        <v>0.612</v>
      </c>
      <c r="L791" s="81">
        <f t="shared" si="3"/>
        <v>0.3201</v>
      </c>
    </row>
    <row r="792">
      <c r="A792" s="82">
        <v>44678.0</v>
      </c>
      <c r="B792" s="82">
        <v>44678.0</v>
      </c>
      <c r="C792" s="66">
        <v>2027.0</v>
      </c>
      <c r="D792" s="66" t="s">
        <v>198</v>
      </c>
      <c r="E792" s="66">
        <v>0.0</v>
      </c>
      <c r="F792" s="66" t="s">
        <v>205</v>
      </c>
      <c r="G792" s="66">
        <f t="shared" si="11"/>
        <v>0</v>
      </c>
      <c r="H792" s="66">
        <v>0.0</v>
      </c>
      <c r="I792" s="66">
        <v>3.467</v>
      </c>
      <c r="J792" s="66">
        <v>1.931</v>
      </c>
      <c r="K792" s="81">
        <f t="shared" si="2"/>
        <v>3.467</v>
      </c>
      <c r="L792" s="81">
        <f t="shared" si="3"/>
        <v>1.931</v>
      </c>
    </row>
    <row r="793">
      <c r="A793" s="82">
        <v>44678.0</v>
      </c>
      <c r="B793" s="82">
        <v>44678.0</v>
      </c>
      <c r="C793" s="66">
        <v>2022.0</v>
      </c>
      <c r="D793" s="66" t="s">
        <v>198</v>
      </c>
      <c r="E793" s="66">
        <v>1.0</v>
      </c>
      <c r="F793" s="66" t="s">
        <v>205</v>
      </c>
      <c r="G793" s="66">
        <f t="shared" si="11"/>
        <v>0</v>
      </c>
      <c r="H793" s="66">
        <v>0.0</v>
      </c>
      <c r="I793" s="66">
        <v>2.189</v>
      </c>
      <c r="J793" s="66">
        <v>1.381</v>
      </c>
      <c r="K793" s="81">
        <f t="shared" si="2"/>
        <v>2.189</v>
      </c>
      <c r="L793" s="81">
        <f t="shared" si="3"/>
        <v>1.381</v>
      </c>
    </row>
    <row r="794">
      <c r="A794" s="82">
        <v>44678.0</v>
      </c>
      <c r="B794" s="82">
        <v>44678.0</v>
      </c>
      <c r="C794" s="66">
        <v>2030.0</v>
      </c>
      <c r="D794" s="66" t="s">
        <v>198</v>
      </c>
      <c r="E794" s="66">
        <v>1.0</v>
      </c>
      <c r="F794" s="66" t="s">
        <v>205</v>
      </c>
      <c r="G794" s="66">
        <f t="shared" si="11"/>
        <v>0</v>
      </c>
      <c r="H794" s="66">
        <v>0.0</v>
      </c>
      <c r="I794" s="66">
        <v>4.023</v>
      </c>
      <c r="J794" s="66">
        <v>2.4566</v>
      </c>
      <c r="K794" s="81">
        <f t="shared" si="2"/>
        <v>4.023</v>
      </c>
      <c r="L794" s="81">
        <f t="shared" si="3"/>
        <v>2.4566</v>
      </c>
    </row>
    <row r="795">
      <c r="A795" s="82">
        <v>44678.0</v>
      </c>
      <c r="B795" s="82">
        <v>44678.0</v>
      </c>
      <c r="C795" s="66">
        <v>2028.0</v>
      </c>
      <c r="D795" s="66" t="s">
        <v>198</v>
      </c>
      <c r="E795" s="66">
        <v>0.0</v>
      </c>
      <c r="F795" s="66" t="s">
        <v>205</v>
      </c>
      <c r="G795" s="66">
        <f t="shared" si="11"/>
        <v>0</v>
      </c>
      <c r="H795" s="66">
        <v>0.0</v>
      </c>
      <c r="I795" s="66">
        <v>5.515</v>
      </c>
      <c r="J795" s="66">
        <v>3.182</v>
      </c>
      <c r="K795" s="81">
        <f t="shared" si="2"/>
        <v>5.515</v>
      </c>
      <c r="L795" s="81">
        <f t="shared" si="3"/>
        <v>3.182</v>
      </c>
    </row>
    <row r="796">
      <c r="A796" s="82">
        <v>44678.0</v>
      </c>
      <c r="B796" s="82">
        <v>44678.0</v>
      </c>
      <c r="C796" s="66">
        <v>2012.0</v>
      </c>
      <c r="D796" s="66" t="s">
        <v>198</v>
      </c>
      <c r="E796" s="66">
        <v>1.0</v>
      </c>
      <c r="F796" s="66" t="s">
        <v>204</v>
      </c>
      <c r="G796" s="66">
        <f t="shared" si="11"/>
        <v>0</v>
      </c>
      <c r="H796" s="66">
        <v>0.0</v>
      </c>
      <c r="I796" s="66">
        <v>1.73</v>
      </c>
      <c r="J796" s="66">
        <v>1.017</v>
      </c>
      <c r="K796" s="81">
        <f t="shared" si="2"/>
        <v>1.73</v>
      </c>
      <c r="L796" s="81">
        <f t="shared" si="3"/>
        <v>1.017</v>
      </c>
    </row>
    <row r="797">
      <c r="A797" s="82">
        <v>44678.0</v>
      </c>
      <c r="B797" s="82">
        <v>44678.0</v>
      </c>
      <c r="C797" s="66">
        <v>2015.0</v>
      </c>
      <c r="D797" s="66" t="s">
        <v>198</v>
      </c>
      <c r="E797" s="66">
        <v>0.0</v>
      </c>
      <c r="F797" s="66" t="s">
        <v>205</v>
      </c>
      <c r="G797" s="66">
        <f t="shared" si="11"/>
        <v>0</v>
      </c>
      <c r="H797" s="66">
        <v>0.0</v>
      </c>
      <c r="I797" s="66">
        <v>5.76</v>
      </c>
      <c r="J797" s="66">
        <v>3.137</v>
      </c>
      <c r="K797" s="81">
        <f t="shared" si="2"/>
        <v>5.76</v>
      </c>
      <c r="L797" s="81">
        <f t="shared" si="3"/>
        <v>3.137</v>
      </c>
    </row>
    <row r="798">
      <c r="A798" s="82">
        <v>44678.0</v>
      </c>
      <c r="B798" s="82">
        <v>44678.0</v>
      </c>
      <c r="C798" s="66">
        <v>2026.0</v>
      </c>
      <c r="D798" s="66" t="s">
        <v>198</v>
      </c>
      <c r="E798" s="66">
        <v>0.0</v>
      </c>
      <c r="F798" s="66" t="s">
        <v>205</v>
      </c>
      <c r="G798" s="66">
        <f t="shared" si="11"/>
        <v>0</v>
      </c>
      <c r="H798" s="66">
        <v>0.0</v>
      </c>
      <c r="I798" s="66">
        <v>4.887</v>
      </c>
      <c r="J798" s="66">
        <v>2.718</v>
      </c>
      <c r="K798" s="81">
        <f t="shared" si="2"/>
        <v>4.887</v>
      </c>
      <c r="L798" s="81">
        <f t="shared" si="3"/>
        <v>2.718</v>
      </c>
    </row>
    <row r="799">
      <c r="A799" s="82">
        <v>44678.0</v>
      </c>
      <c r="B799" s="82">
        <v>44678.0</v>
      </c>
      <c r="C799" s="66">
        <v>2022.0</v>
      </c>
      <c r="D799" s="66" t="s">
        <v>198</v>
      </c>
      <c r="E799" s="66">
        <v>0.0</v>
      </c>
      <c r="F799" s="66" t="s">
        <v>205</v>
      </c>
      <c r="G799" s="66">
        <f t="shared" si="11"/>
        <v>0</v>
      </c>
      <c r="H799" s="66">
        <v>0.0</v>
      </c>
      <c r="I799" s="66">
        <v>3.618</v>
      </c>
      <c r="J799" s="66">
        <v>2.038</v>
      </c>
      <c r="K799" s="81">
        <f t="shared" si="2"/>
        <v>3.618</v>
      </c>
      <c r="L799" s="81">
        <f t="shared" si="3"/>
        <v>2.038</v>
      </c>
    </row>
    <row r="800">
      <c r="A800" s="82">
        <v>44678.0</v>
      </c>
      <c r="B800" s="82">
        <v>44678.0</v>
      </c>
      <c r="C800" s="66">
        <v>2087.0</v>
      </c>
      <c r="D800" s="66" t="s">
        <v>198</v>
      </c>
      <c r="E800" s="66">
        <v>0.0</v>
      </c>
      <c r="F800" s="66" t="s">
        <v>205</v>
      </c>
      <c r="G800" s="66">
        <f t="shared" si="11"/>
        <v>0</v>
      </c>
      <c r="H800" s="66">
        <v>0.0</v>
      </c>
      <c r="I800" s="66">
        <v>8.2303</v>
      </c>
      <c r="J800" s="66">
        <v>4.1843</v>
      </c>
      <c r="K800" s="81">
        <f t="shared" si="2"/>
        <v>8.2303</v>
      </c>
      <c r="L800" s="81">
        <f t="shared" si="3"/>
        <v>4.1843</v>
      </c>
    </row>
    <row r="801">
      <c r="A801" s="82">
        <v>44678.0</v>
      </c>
      <c r="B801" s="82">
        <v>44678.0</v>
      </c>
      <c r="C801" s="66">
        <v>2021.0</v>
      </c>
      <c r="D801" s="66" t="s">
        <v>198</v>
      </c>
      <c r="E801" s="66">
        <v>0.0</v>
      </c>
      <c r="F801" s="66" t="s">
        <v>205</v>
      </c>
      <c r="G801" s="66">
        <f t="shared" si="11"/>
        <v>0</v>
      </c>
      <c r="H801" s="66">
        <v>0.0</v>
      </c>
      <c r="I801" s="66">
        <v>4.756</v>
      </c>
      <c r="J801" s="66">
        <v>2.6147</v>
      </c>
      <c r="K801" s="81">
        <f t="shared" si="2"/>
        <v>4.756</v>
      </c>
      <c r="L801" s="81">
        <f t="shared" si="3"/>
        <v>2.6147</v>
      </c>
    </row>
    <row r="802">
      <c r="A802" s="82">
        <v>44678.0</v>
      </c>
      <c r="B802" s="82">
        <v>44678.0</v>
      </c>
      <c r="C802" s="66">
        <v>2032.0</v>
      </c>
      <c r="D802" s="66" t="s">
        <v>198</v>
      </c>
      <c r="E802" s="66">
        <v>0.0</v>
      </c>
      <c r="F802" s="66" t="s">
        <v>204</v>
      </c>
      <c r="G802" s="66">
        <f t="shared" si="11"/>
        <v>0</v>
      </c>
      <c r="H802" s="66">
        <v>0.0</v>
      </c>
      <c r="I802" s="66">
        <v>0.529</v>
      </c>
      <c r="J802" s="66">
        <v>0.2773</v>
      </c>
      <c r="K802" s="81">
        <f t="shared" si="2"/>
        <v>0.529</v>
      </c>
      <c r="L802" s="81">
        <f t="shared" si="3"/>
        <v>0.2773</v>
      </c>
    </row>
    <row r="803">
      <c r="A803" s="82">
        <v>44678.0</v>
      </c>
      <c r="B803" s="82">
        <v>44678.0</v>
      </c>
      <c r="C803" s="66">
        <v>2023.0</v>
      </c>
      <c r="D803" s="66" t="s">
        <v>198</v>
      </c>
      <c r="E803" s="66">
        <v>0.0</v>
      </c>
      <c r="F803" s="66" t="s">
        <v>204</v>
      </c>
      <c r="G803" s="66">
        <f t="shared" si="11"/>
        <v>0</v>
      </c>
      <c r="H803" s="66">
        <v>0.0</v>
      </c>
      <c r="I803" s="66">
        <v>0.681</v>
      </c>
      <c r="J803" s="66">
        <v>0.3742</v>
      </c>
      <c r="K803" s="81">
        <f t="shared" si="2"/>
        <v>0.681</v>
      </c>
      <c r="L803" s="81">
        <f t="shared" si="3"/>
        <v>0.3742</v>
      </c>
    </row>
    <row r="804">
      <c r="A804" s="82">
        <v>44678.0</v>
      </c>
      <c r="B804" s="82">
        <v>44678.0</v>
      </c>
      <c r="C804" s="66">
        <v>2023.0</v>
      </c>
      <c r="D804" s="66" t="s">
        <v>198</v>
      </c>
      <c r="E804" s="66">
        <v>1.0</v>
      </c>
      <c r="F804" s="66" t="s">
        <v>205</v>
      </c>
      <c r="G804" s="66">
        <f t="shared" si="11"/>
        <v>0</v>
      </c>
      <c r="H804" s="66">
        <v>0.0</v>
      </c>
      <c r="I804" s="66">
        <v>3.128</v>
      </c>
      <c r="J804" s="66">
        <v>1.8907</v>
      </c>
      <c r="K804" s="81">
        <f t="shared" si="2"/>
        <v>3.128</v>
      </c>
      <c r="L804" s="81">
        <f t="shared" si="3"/>
        <v>1.8907</v>
      </c>
    </row>
    <row r="805">
      <c r="A805" s="82">
        <v>44678.0</v>
      </c>
      <c r="B805" s="82">
        <v>44678.0</v>
      </c>
      <c r="C805" s="66">
        <v>2089.0</v>
      </c>
      <c r="D805" s="66" t="s">
        <v>198</v>
      </c>
      <c r="E805" s="66">
        <v>0.0</v>
      </c>
      <c r="F805" s="66" t="s">
        <v>205</v>
      </c>
      <c r="G805" s="66">
        <f t="shared" si="11"/>
        <v>0</v>
      </c>
      <c r="H805" s="66">
        <v>0.0</v>
      </c>
      <c r="I805" s="66">
        <v>1.372</v>
      </c>
      <c r="J805" s="66">
        <v>0.5064</v>
      </c>
      <c r="K805" s="81">
        <f t="shared" si="2"/>
        <v>1.372</v>
      </c>
      <c r="L805" s="81">
        <f t="shared" si="3"/>
        <v>0.5064</v>
      </c>
    </row>
    <row r="806">
      <c r="A806" s="82">
        <v>44678.0</v>
      </c>
      <c r="B806" s="82">
        <v>44678.0</v>
      </c>
      <c r="C806" s="66">
        <v>2024.0</v>
      </c>
      <c r="D806" s="66" t="s">
        <v>198</v>
      </c>
      <c r="E806" s="66">
        <v>0.0</v>
      </c>
      <c r="F806" s="66" t="s">
        <v>205</v>
      </c>
      <c r="G806" s="66">
        <f t="shared" si="11"/>
        <v>0</v>
      </c>
      <c r="H806" s="66">
        <v>0.0</v>
      </c>
      <c r="I806" s="66">
        <v>5.952</v>
      </c>
      <c r="J806" s="66">
        <v>3.1904</v>
      </c>
      <c r="K806" s="81">
        <f t="shared" si="2"/>
        <v>5.952</v>
      </c>
      <c r="L806" s="81">
        <f t="shared" si="3"/>
        <v>3.1904</v>
      </c>
    </row>
    <row r="807">
      <c r="A807" s="82">
        <v>44678.0</v>
      </c>
      <c r="B807" s="82">
        <v>44678.0</v>
      </c>
      <c r="C807" s="66">
        <v>2005.0</v>
      </c>
      <c r="D807" s="66" t="s">
        <v>198</v>
      </c>
      <c r="E807" s="66">
        <v>0.0</v>
      </c>
      <c r="F807" s="66" t="s">
        <v>204</v>
      </c>
      <c r="G807" s="66">
        <f t="shared" si="11"/>
        <v>0</v>
      </c>
      <c r="H807" s="66">
        <v>0.0</v>
      </c>
      <c r="I807" s="66">
        <v>0.635</v>
      </c>
      <c r="J807" s="66">
        <v>0.3405</v>
      </c>
      <c r="K807" s="81">
        <f t="shared" si="2"/>
        <v>0.635</v>
      </c>
      <c r="L807" s="81">
        <f t="shared" si="3"/>
        <v>0.3405</v>
      </c>
      <c r="N807" s="66" t="s">
        <v>219</v>
      </c>
    </row>
    <row r="808">
      <c r="A808" s="82">
        <v>44678.0</v>
      </c>
      <c r="B808" s="82">
        <v>44678.0</v>
      </c>
      <c r="C808" s="66">
        <v>2093.0</v>
      </c>
      <c r="D808" s="66" t="s">
        <v>198</v>
      </c>
      <c r="E808" s="66">
        <v>1.0</v>
      </c>
      <c r="F808" s="66" t="s">
        <v>205</v>
      </c>
      <c r="G808" s="66">
        <f t="shared" si="11"/>
        <v>0</v>
      </c>
      <c r="H808" s="66">
        <v>0.0</v>
      </c>
      <c r="I808" s="66">
        <v>1.8246</v>
      </c>
      <c r="J808" s="66">
        <v>1.1341</v>
      </c>
      <c r="K808" s="81">
        <f t="shared" si="2"/>
        <v>1.8246</v>
      </c>
      <c r="L808" s="81">
        <f t="shared" si="3"/>
        <v>1.1341</v>
      </c>
    </row>
    <row r="809">
      <c r="A809" s="82">
        <v>44678.0</v>
      </c>
      <c r="B809" s="82">
        <v>44678.0</v>
      </c>
      <c r="C809" s="66">
        <v>2093.0</v>
      </c>
      <c r="D809" s="66" t="s">
        <v>198</v>
      </c>
      <c r="E809" s="66">
        <v>0.0</v>
      </c>
      <c r="F809" s="66" t="s">
        <v>204</v>
      </c>
      <c r="G809" s="66">
        <f t="shared" si="11"/>
        <v>0</v>
      </c>
      <c r="H809" s="66">
        <v>0.0</v>
      </c>
      <c r="I809" s="66">
        <v>0.6707</v>
      </c>
      <c r="J809" s="66">
        <v>0.283</v>
      </c>
      <c r="K809" s="81">
        <f t="shared" si="2"/>
        <v>0.6707</v>
      </c>
      <c r="L809" s="81">
        <f t="shared" si="3"/>
        <v>0.283</v>
      </c>
    </row>
    <row r="810">
      <c r="A810" s="82">
        <v>44678.0</v>
      </c>
      <c r="B810" s="82">
        <v>44678.0</v>
      </c>
      <c r="C810" s="66">
        <v>2015.0</v>
      </c>
      <c r="D810" s="66" t="s">
        <v>198</v>
      </c>
      <c r="E810" s="66">
        <v>0.0</v>
      </c>
      <c r="F810" s="66" t="s">
        <v>204</v>
      </c>
      <c r="G810" s="66">
        <f t="shared" si="11"/>
        <v>0</v>
      </c>
      <c r="H810" s="66">
        <v>0.0</v>
      </c>
      <c r="I810" s="66">
        <v>0.589</v>
      </c>
      <c r="J810" s="66">
        <v>0.3044</v>
      </c>
      <c r="K810" s="81">
        <f t="shared" si="2"/>
        <v>0.589</v>
      </c>
      <c r="L810" s="81">
        <f t="shared" si="3"/>
        <v>0.3044</v>
      </c>
    </row>
    <row r="811">
      <c r="A811" s="82">
        <v>44678.0</v>
      </c>
      <c r="B811" s="82">
        <v>44678.0</v>
      </c>
      <c r="C811" s="66">
        <v>1478.0</v>
      </c>
      <c r="D811" s="66" t="s">
        <v>198</v>
      </c>
      <c r="E811" s="66">
        <v>0.0</v>
      </c>
      <c r="F811" s="66" t="s">
        <v>205</v>
      </c>
      <c r="G811" s="66">
        <f t="shared" si="11"/>
        <v>0</v>
      </c>
      <c r="H811" s="66">
        <v>0.0</v>
      </c>
      <c r="I811" s="66">
        <v>7.06</v>
      </c>
      <c r="J811" s="66">
        <v>5.89</v>
      </c>
      <c r="K811" s="81">
        <f t="shared" si="2"/>
        <v>7.06</v>
      </c>
      <c r="L811" s="81">
        <f t="shared" si="3"/>
        <v>5.89</v>
      </c>
    </row>
    <row r="812">
      <c r="A812" s="82">
        <v>44678.0</v>
      </c>
      <c r="B812" s="82">
        <v>44678.0</v>
      </c>
      <c r="C812" s="66">
        <v>2012.0</v>
      </c>
      <c r="D812" s="66" t="s">
        <v>198</v>
      </c>
      <c r="E812" s="66">
        <v>0.0</v>
      </c>
      <c r="F812" s="66" t="s">
        <v>205</v>
      </c>
      <c r="G812" s="66">
        <f t="shared" si="11"/>
        <v>0</v>
      </c>
      <c r="H812" s="66">
        <v>0.0</v>
      </c>
      <c r="I812" s="66">
        <v>5.07</v>
      </c>
      <c r="J812" s="66">
        <v>2.7726</v>
      </c>
      <c r="K812" s="81">
        <f t="shared" si="2"/>
        <v>5.07</v>
      </c>
      <c r="L812" s="81">
        <f t="shared" si="3"/>
        <v>2.7726</v>
      </c>
    </row>
    <row r="813">
      <c r="A813" s="82">
        <v>44678.0</v>
      </c>
      <c r="B813" s="82">
        <v>44678.0</v>
      </c>
      <c r="C813" s="66">
        <v>2013.0</v>
      </c>
      <c r="D813" s="66" t="s">
        <v>198</v>
      </c>
      <c r="E813" s="66">
        <v>1.0</v>
      </c>
      <c r="F813" s="66" t="s">
        <v>204</v>
      </c>
      <c r="G813" s="66">
        <f t="shared" si="11"/>
        <v>0</v>
      </c>
      <c r="H813" s="66">
        <v>0.0</v>
      </c>
      <c r="I813" s="66">
        <v>1.12</v>
      </c>
      <c r="J813" s="66">
        <v>0.6027</v>
      </c>
      <c r="K813" s="81">
        <f t="shared" si="2"/>
        <v>1.12</v>
      </c>
      <c r="L813" s="81">
        <f t="shared" si="3"/>
        <v>0.6027</v>
      </c>
    </row>
    <row r="814">
      <c r="A814" s="82">
        <v>44678.0</v>
      </c>
      <c r="B814" s="82">
        <v>44678.0</v>
      </c>
      <c r="C814" s="66">
        <v>2015.0</v>
      </c>
      <c r="D814" s="66" t="s">
        <v>198</v>
      </c>
      <c r="E814" s="66">
        <v>1.0</v>
      </c>
      <c r="F814" s="66" t="s">
        <v>204</v>
      </c>
      <c r="G814" s="66">
        <f t="shared" si="11"/>
        <v>0</v>
      </c>
      <c r="H814" s="66">
        <v>0.0</v>
      </c>
      <c r="I814" s="66">
        <v>1.79</v>
      </c>
      <c r="J814" s="66">
        <v>1.0174</v>
      </c>
      <c r="K814" s="81">
        <f t="shared" si="2"/>
        <v>1.79</v>
      </c>
      <c r="L814" s="81">
        <f t="shared" si="3"/>
        <v>1.0174</v>
      </c>
    </row>
    <row r="815">
      <c r="A815" s="82">
        <v>44678.0</v>
      </c>
      <c r="B815" s="82">
        <v>44678.0</v>
      </c>
      <c r="C815" s="66">
        <v>2007.0</v>
      </c>
      <c r="D815" s="66" t="s">
        <v>198</v>
      </c>
      <c r="E815" s="66">
        <v>0.0</v>
      </c>
      <c r="F815" s="66" t="s">
        <v>205</v>
      </c>
      <c r="G815" s="66">
        <f t="shared" si="11"/>
        <v>0</v>
      </c>
      <c r="H815" s="66">
        <v>0.0</v>
      </c>
      <c r="I815" s="66">
        <v>7.68</v>
      </c>
      <c r="J815" s="66">
        <v>4.2926</v>
      </c>
      <c r="K815" s="81">
        <f t="shared" si="2"/>
        <v>7.68</v>
      </c>
      <c r="L815" s="81">
        <f t="shared" si="3"/>
        <v>4.2926</v>
      </c>
    </row>
    <row r="816">
      <c r="A816" s="82">
        <v>44678.0</v>
      </c>
      <c r="B816" s="82">
        <v>44678.0</v>
      </c>
      <c r="C816" s="66">
        <v>2005.0</v>
      </c>
      <c r="D816" s="66" t="s">
        <v>198</v>
      </c>
      <c r="E816" s="66">
        <v>0.0</v>
      </c>
      <c r="F816" s="66" t="s">
        <v>205</v>
      </c>
      <c r="G816" s="66">
        <f t="shared" si="11"/>
        <v>0</v>
      </c>
      <c r="H816" s="66">
        <v>0.0</v>
      </c>
      <c r="I816" s="66">
        <v>2.25</v>
      </c>
      <c r="J816" s="66">
        <v>1.307</v>
      </c>
      <c r="K816" s="81">
        <f t="shared" si="2"/>
        <v>2.25</v>
      </c>
      <c r="L816" s="81">
        <f t="shared" si="3"/>
        <v>1.307</v>
      </c>
    </row>
    <row r="817">
      <c r="A817" s="82">
        <v>44678.0</v>
      </c>
      <c r="B817" s="82">
        <v>44678.0</v>
      </c>
      <c r="C817" s="66">
        <v>2013.0</v>
      </c>
      <c r="D817" s="66" t="s">
        <v>198</v>
      </c>
      <c r="E817" s="66">
        <v>0.0</v>
      </c>
      <c r="F817" s="66" t="s">
        <v>204</v>
      </c>
      <c r="G817" s="66">
        <f t="shared" si="11"/>
        <v>0</v>
      </c>
      <c r="H817" s="66">
        <v>0.0</v>
      </c>
      <c r="I817" s="66">
        <v>0.866</v>
      </c>
      <c r="J817" s="66">
        <v>0.4082</v>
      </c>
      <c r="K817" s="81">
        <f t="shared" si="2"/>
        <v>0.866</v>
      </c>
      <c r="L817" s="81">
        <f t="shared" si="3"/>
        <v>0.4082</v>
      </c>
    </row>
    <row r="818">
      <c r="A818" s="82">
        <v>44678.0</v>
      </c>
      <c r="B818" s="82">
        <v>44678.0</v>
      </c>
      <c r="C818" s="66">
        <v>2007.0</v>
      </c>
      <c r="D818" s="66" t="s">
        <v>198</v>
      </c>
      <c r="E818" s="66">
        <v>0.0</v>
      </c>
      <c r="F818" s="66" t="s">
        <v>204</v>
      </c>
      <c r="G818" s="66">
        <f t="shared" si="11"/>
        <v>0</v>
      </c>
      <c r="H818" s="66">
        <v>0.0</v>
      </c>
      <c r="I818" s="66">
        <v>0.797</v>
      </c>
      <c r="J818" s="66">
        <v>0.4243</v>
      </c>
      <c r="K818" s="81">
        <f t="shared" si="2"/>
        <v>0.797</v>
      </c>
      <c r="L818" s="81">
        <f t="shared" si="3"/>
        <v>0.4243</v>
      </c>
    </row>
    <row r="819">
      <c r="A819" s="82">
        <v>44678.0</v>
      </c>
      <c r="B819" s="82">
        <v>44678.0</v>
      </c>
      <c r="C819" s="66">
        <v>2012.0</v>
      </c>
      <c r="D819" s="66" t="s">
        <v>198</v>
      </c>
      <c r="E819" s="66">
        <v>0.0</v>
      </c>
      <c r="F819" s="66" t="s">
        <v>204</v>
      </c>
      <c r="G819" s="66">
        <f t="shared" si="11"/>
        <v>0</v>
      </c>
      <c r="H819" s="66">
        <v>0.0</v>
      </c>
      <c r="I819" s="66">
        <v>0.442</v>
      </c>
      <c r="J819" s="66">
        <v>0.2316</v>
      </c>
      <c r="K819" s="81">
        <f t="shared" si="2"/>
        <v>0.442</v>
      </c>
      <c r="L819" s="81">
        <f t="shared" si="3"/>
        <v>0.2316</v>
      </c>
    </row>
    <row r="820">
      <c r="A820" s="82">
        <v>44678.0</v>
      </c>
      <c r="B820" s="82">
        <v>44678.0</v>
      </c>
      <c r="C820" s="66">
        <v>1478.0</v>
      </c>
      <c r="D820" s="66" t="s">
        <v>198</v>
      </c>
      <c r="E820" s="66">
        <v>0.0</v>
      </c>
      <c r="F820" s="66" t="s">
        <v>204</v>
      </c>
      <c r="G820" s="66">
        <f t="shared" si="11"/>
        <v>0</v>
      </c>
      <c r="H820" s="66">
        <v>0.0</v>
      </c>
      <c r="I820" s="66">
        <v>1.13</v>
      </c>
      <c r="J820" s="66">
        <v>0.5387</v>
      </c>
      <c r="K820" s="81">
        <f t="shared" si="2"/>
        <v>1.13</v>
      </c>
      <c r="L820" s="81">
        <f t="shared" si="3"/>
        <v>0.5387</v>
      </c>
    </row>
    <row r="821">
      <c r="A821" s="82">
        <v>44678.0</v>
      </c>
      <c r="B821" s="82">
        <v>44678.0</v>
      </c>
      <c r="C821" s="66">
        <v>2007.0</v>
      </c>
      <c r="D821" s="66" t="s">
        <v>198</v>
      </c>
      <c r="E821" s="66">
        <v>1.0</v>
      </c>
      <c r="F821" s="66" t="s">
        <v>204</v>
      </c>
      <c r="G821" s="66">
        <f t="shared" si="11"/>
        <v>0</v>
      </c>
      <c r="H821" s="66">
        <v>0.0</v>
      </c>
      <c r="I821" s="66">
        <v>2.214</v>
      </c>
      <c r="J821" s="66">
        <v>1.3093</v>
      </c>
      <c r="K821" s="81">
        <f t="shared" si="2"/>
        <v>2.214</v>
      </c>
      <c r="L821" s="81">
        <f t="shared" si="3"/>
        <v>1.3093</v>
      </c>
    </row>
    <row r="822">
      <c r="A822" s="82">
        <v>44678.0</v>
      </c>
      <c r="B822" s="82">
        <v>44678.0</v>
      </c>
      <c r="C822" s="66">
        <v>1478.0</v>
      </c>
      <c r="D822" s="66" t="s">
        <v>198</v>
      </c>
      <c r="E822" s="66">
        <v>1.0</v>
      </c>
      <c r="F822" s="66" t="s">
        <v>204</v>
      </c>
      <c r="G822" s="66">
        <f t="shared" si="11"/>
        <v>0</v>
      </c>
      <c r="H822" s="66">
        <v>0.0</v>
      </c>
      <c r="I822" s="66">
        <v>2.1</v>
      </c>
      <c r="J822" s="66">
        <v>1.1228</v>
      </c>
      <c r="K822" s="81">
        <f t="shared" si="2"/>
        <v>2.1</v>
      </c>
      <c r="L822" s="81">
        <f t="shared" si="3"/>
        <v>1.1228</v>
      </c>
    </row>
    <row r="823">
      <c r="A823" s="82">
        <v>44678.0</v>
      </c>
      <c r="B823" s="82">
        <v>44678.0</v>
      </c>
      <c r="C823" s="66">
        <v>2093.0</v>
      </c>
      <c r="D823" s="66" t="s">
        <v>198</v>
      </c>
      <c r="E823" s="66">
        <v>1.0</v>
      </c>
      <c r="F823" s="66" t="s">
        <v>204</v>
      </c>
      <c r="G823" s="66">
        <f t="shared" si="11"/>
        <v>0</v>
      </c>
      <c r="H823" s="66">
        <v>0.0</v>
      </c>
      <c r="I823" s="66">
        <v>0.9382</v>
      </c>
      <c r="J823" s="66">
        <v>0.3337</v>
      </c>
      <c r="K823" s="81">
        <f t="shared" si="2"/>
        <v>0.9382</v>
      </c>
      <c r="L823" s="81">
        <f t="shared" si="3"/>
        <v>0.3337</v>
      </c>
    </row>
    <row r="824">
      <c r="A824" s="82">
        <v>44678.0</v>
      </c>
      <c r="B824" s="82">
        <v>44678.0</v>
      </c>
      <c r="C824" s="66">
        <v>2013.0</v>
      </c>
      <c r="D824" s="66" t="s">
        <v>198</v>
      </c>
      <c r="E824" s="66">
        <v>0.0</v>
      </c>
      <c r="F824" s="66" t="s">
        <v>205</v>
      </c>
      <c r="G824" s="66">
        <f t="shared" si="11"/>
        <v>0</v>
      </c>
      <c r="H824" s="66">
        <v>0.0</v>
      </c>
      <c r="I824" s="66">
        <v>5.68</v>
      </c>
      <c r="J824" s="66">
        <v>2.873</v>
      </c>
      <c r="K824" s="81">
        <f t="shared" si="2"/>
        <v>5.68</v>
      </c>
      <c r="L824" s="81">
        <f t="shared" si="3"/>
        <v>2.873</v>
      </c>
    </row>
    <row r="825">
      <c r="A825" s="82">
        <v>44678.0</v>
      </c>
      <c r="B825" s="82">
        <v>44678.0</v>
      </c>
      <c r="C825" s="66">
        <v>2004.0</v>
      </c>
      <c r="D825" s="66" t="s">
        <v>198</v>
      </c>
      <c r="E825" s="66">
        <v>1.0</v>
      </c>
      <c r="F825" s="66" t="s">
        <v>204</v>
      </c>
      <c r="G825" s="66">
        <f t="shared" si="11"/>
        <v>0</v>
      </c>
      <c r="H825" s="66">
        <v>0.0</v>
      </c>
      <c r="I825" s="66">
        <v>2.0521</v>
      </c>
      <c r="J825" s="66">
        <v>1.1672</v>
      </c>
      <c r="K825" s="81">
        <f t="shared" si="2"/>
        <v>2.0521</v>
      </c>
      <c r="L825" s="81">
        <f t="shared" si="3"/>
        <v>1.1672</v>
      </c>
    </row>
    <row r="826">
      <c r="A826" s="82">
        <v>44678.0</v>
      </c>
      <c r="B826" s="82">
        <v>44678.0</v>
      </c>
      <c r="C826" s="66">
        <v>2023.0</v>
      </c>
      <c r="D826" s="66" t="s">
        <v>198</v>
      </c>
      <c r="E826" s="66">
        <v>1.0</v>
      </c>
      <c r="F826" s="66" t="s">
        <v>204</v>
      </c>
      <c r="G826" s="66">
        <f t="shared" si="11"/>
        <v>0</v>
      </c>
      <c r="H826" s="66">
        <v>0.0</v>
      </c>
      <c r="I826" s="66">
        <v>0.921</v>
      </c>
      <c r="J826" s="66">
        <v>0.547</v>
      </c>
      <c r="K826" s="81">
        <f t="shared" si="2"/>
        <v>0.921</v>
      </c>
      <c r="L826" s="81">
        <f t="shared" si="3"/>
        <v>0.547</v>
      </c>
    </row>
    <row r="827">
      <c r="A827" s="82">
        <v>44678.0</v>
      </c>
      <c r="B827" s="82">
        <v>44678.0</v>
      </c>
      <c r="C827" s="66">
        <v>2086.0</v>
      </c>
      <c r="D827" s="66" t="s">
        <v>198</v>
      </c>
      <c r="E827" s="66">
        <v>1.0</v>
      </c>
      <c r="F827" s="66" t="s">
        <v>204</v>
      </c>
      <c r="G827" s="66">
        <f t="shared" si="11"/>
        <v>0</v>
      </c>
      <c r="H827" s="66">
        <v>0.0</v>
      </c>
      <c r="I827" s="66">
        <v>0.9163</v>
      </c>
      <c r="J827" s="66">
        <v>0.495</v>
      </c>
      <c r="K827" s="81">
        <f t="shared" si="2"/>
        <v>0.9163</v>
      </c>
      <c r="L827" s="81">
        <f t="shared" si="3"/>
        <v>0.495</v>
      </c>
    </row>
    <row r="828">
      <c r="A828" s="82">
        <v>44678.0</v>
      </c>
      <c r="B828" s="82">
        <v>44678.0</v>
      </c>
      <c r="C828" s="66">
        <v>2090.0</v>
      </c>
      <c r="D828" s="66" t="s">
        <v>203</v>
      </c>
      <c r="E828" s="66">
        <v>0.0</v>
      </c>
      <c r="F828" s="66" t="s">
        <v>205</v>
      </c>
      <c r="G828" s="66">
        <f t="shared" si="11"/>
        <v>0</v>
      </c>
      <c r="H828" s="66">
        <v>25.98</v>
      </c>
      <c r="I828" s="66">
        <v>33.943</v>
      </c>
      <c r="J828" s="66">
        <v>29.5738</v>
      </c>
      <c r="K828" s="81">
        <f t="shared" si="2"/>
        <v>7.963</v>
      </c>
      <c r="L828" s="81">
        <f t="shared" si="3"/>
        <v>3.5938</v>
      </c>
    </row>
    <row r="829">
      <c r="A829" s="82">
        <v>44678.0</v>
      </c>
      <c r="B829" s="82">
        <v>44678.0</v>
      </c>
      <c r="C829" s="66">
        <v>2021.0</v>
      </c>
      <c r="D829" s="66" t="s">
        <v>203</v>
      </c>
      <c r="E829" s="66">
        <v>0.0</v>
      </c>
      <c r="F829" s="66" t="s">
        <v>205</v>
      </c>
      <c r="G829" s="66">
        <f t="shared" si="11"/>
        <v>0</v>
      </c>
      <c r="H829" s="66">
        <v>25.957</v>
      </c>
      <c r="I829" s="66">
        <v>30.974</v>
      </c>
      <c r="J829" s="66">
        <v>28.4466</v>
      </c>
      <c r="K829" s="81">
        <f t="shared" si="2"/>
        <v>5.017</v>
      </c>
      <c r="L829" s="81">
        <f t="shared" si="3"/>
        <v>2.4896</v>
      </c>
    </row>
    <row r="830">
      <c r="A830" s="82">
        <v>44678.0</v>
      </c>
      <c r="B830" s="82">
        <v>44678.0</v>
      </c>
      <c r="C830" s="66">
        <v>2086.0</v>
      </c>
      <c r="D830" s="66" t="s">
        <v>203</v>
      </c>
      <c r="E830" s="66">
        <v>0.0</v>
      </c>
      <c r="F830" s="66" t="s">
        <v>205</v>
      </c>
      <c r="G830" s="66">
        <f t="shared" si="11"/>
        <v>0</v>
      </c>
      <c r="H830" s="66">
        <v>25.713</v>
      </c>
      <c r="I830" s="66">
        <v>31.162</v>
      </c>
      <c r="J830" s="66">
        <v>28.1727</v>
      </c>
      <c r="K830" s="81">
        <f t="shared" si="2"/>
        <v>5.449</v>
      </c>
      <c r="L830" s="81">
        <f t="shared" si="3"/>
        <v>2.4597</v>
      </c>
    </row>
    <row r="831">
      <c r="A831" s="82">
        <v>44678.0</v>
      </c>
      <c r="B831" s="82">
        <v>44678.0</v>
      </c>
      <c r="C831" s="66">
        <v>2021.0</v>
      </c>
      <c r="D831" s="66" t="s">
        <v>203</v>
      </c>
      <c r="E831" s="66">
        <v>0.0</v>
      </c>
      <c r="F831" s="66" t="s">
        <v>204</v>
      </c>
      <c r="G831" s="66">
        <f t="shared" si="11"/>
        <v>0</v>
      </c>
      <c r="H831" s="66">
        <v>26.185</v>
      </c>
      <c r="I831" s="66">
        <v>26.219</v>
      </c>
      <c r="J831" s="66">
        <v>26.3752</v>
      </c>
      <c r="K831" s="81">
        <f t="shared" si="2"/>
        <v>0.034</v>
      </c>
      <c r="L831" s="81">
        <f t="shared" si="3"/>
        <v>0.1902</v>
      </c>
    </row>
    <row r="832">
      <c r="A832" s="82">
        <v>44678.0</v>
      </c>
      <c r="B832" s="82">
        <v>44678.0</v>
      </c>
      <c r="C832" s="66">
        <v>2093.0</v>
      </c>
      <c r="D832" s="66" t="s">
        <v>203</v>
      </c>
      <c r="E832" s="66">
        <v>1.0</v>
      </c>
      <c r="F832" s="66" t="s">
        <v>205</v>
      </c>
      <c r="G832" s="66">
        <f t="shared" si="11"/>
        <v>0</v>
      </c>
      <c r="H832" s="66">
        <v>25.88</v>
      </c>
      <c r="I832" s="66">
        <v>30.336</v>
      </c>
      <c r="J832" s="66">
        <v>28.467</v>
      </c>
      <c r="K832" s="81">
        <f t="shared" si="2"/>
        <v>4.456</v>
      </c>
      <c r="L832" s="81">
        <f t="shared" si="3"/>
        <v>2.587</v>
      </c>
    </row>
    <row r="833">
      <c r="A833" s="82">
        <v>44678.0</v>
      </c>
      <c r="B833" s="82">
        <v>44678.0</v>
      </c>
      <c r="C833" s="66">
        <v>2023.0</v>
      </c>
      <c r="D833" s="66" t="s">
        <v>203</v>
      </c>
      <c r="E833" s="66">
        <v>0.0</v>
      </c>
      <c r="F833" s="66" t="s">
        <v>205</v>
      </c>
      <c r="G833" s="66">
        <f t="shared" si="11"/>
        <v>0</v>
      </c>
      <c r="H833" s="66">
        <v>26.106</v>
      </c>
      <c r="I833" s="66">
        <v>30.086</v>
      </c>
      <c r="J833" s="66">
        <v>28.1609</v>
      </c>
      <c r="K833" s="81">
        <f t="shared" si="2"/>
        <v>3.98</v>
      </c>
      <c r="L833" s="81">
        <f t="shared" si="3"/>
        <v>2.0549</v>
      </c>
      <c r="N833" s="66" t="s">
        <v>210</v>
      </c>
    </row>
    <row r="834">
      <c r="A834" s="82">
        <v>44678.0</v>
      </c>
      <c r="B834" s="82">
        <v>44678.0</v>
      </c>
      <c r="C834" s="66">
        <v>2025.0</v>
      </c>
      <c r="D834" s="66" t="s">
        <v>203</v>
      </c>
      <c r="E834" s="66">
        <v>1.0</v>
      </c>
      <c r="F834" s="66" t="s">
        <v>204</v>
      </c>
      <c r="G834" s="66">
        <f t="shared" si="11"/>
        <v>0</v>
      </c>
      <c r="H834" s="66">
        <v>25.692</v>
      </c>
      <c r="I834" s="66">
        <v>26.973</v>
      </c>
      <c r="J834" s="66">
        <v>26.3862</v>
      </c>
      <c r="K834" s="81">
        <f t="shared" si="2"/>
        <v>1.281</v>
      </c>
      <c r="L834" s="81">
        <f t="shared" si="3"/>
        <v>0.6942</v>
      </c>
    </row>
    <row r="835">
      <c r="A835" s="82">
        <v>44678.0</v>
      </c>
      <c r="B835" s="82">
        <v>44678.0</v>
      </c>
      <c r="C835" s="66">
        <v>2093.0</v>
      </c>
      <c r="D835" s="66" t="s">
        <v>203</v>
      </c>
      <c r="E835" s="66">
        <v>0.0</v>
      </c>
      <c r="F835" s="66" t="s">
        <v>205</v>
      </c>
      <c r="G835" s="66">
        <f t="shared" si="11"/>
        <v>0</v>
      </c>
      <c r="H835" s="66">
        <v>25.748</v>
      </c>
      <c r="I835" s="66">
        <v>31.251</v>
      </c>
      <c r="J835" s="66">
        <v>27.5873</v>
      </c>
      <c r="K835" s="81">
        <f t="shared" si="2"/>
        <v>5.503</v>
      </c>
      <c r="L835" s="81">
        <f t="shared" si="3"/>
        <v>1.8393</v>
      </c>
    </row>
    <row r="836">
      <c r="A836" s="82">
        <v>44678.0</v>
      </c>
      <c r="B836" s="82">
        <v>44678.0</v>
      </c>
      <c r="C836" s="66">
        <v>2027.0</v>
      </c>
      <c r="D836" s="66" t="s">
        <v>203</v>
      </c>
      <c r="E836" s="66">
        <v>1.0</v>
      </c>
      <c r="F836" s="66" t="s">
        <v>204</v>
      </c>
      <c r="G836" s="66">
        <f t="shared" si="11"/>
        <v>0</v>
      </c>
      <c r="H836" s="66">
        <v>25.689</v>
      </c>
      <c r="I836" s="66">
        <v>26.796</v>
      </c>
      <c r="J836" s="66">
        <v>26.4963</v>
      </c>
      <c r="K836" s="81">
        <f t="shared" si="2"/>
        <v>1.107</v>
      </c>
      <c r="L836" s="81">
        <f t="shared" si="3"/>
        <v>0.8073</v>
      </c>
    </row>
    <row r="837">
      <c r="A837" s="82">
        <v>44678.0</v>
      </c>
      <c r="B837" s="82">
        <v>44678.0</v>
      </c>
      <c r="C837" s="66">
        <v>2012.0</v>
      </c>
      <c r="D837" s="66" t="s">
        <v>203</v>
      </c>
      <c r="E837" s="66">
        <v>1.0</v>
      </c>
      <c r="F837" s="66" t="s">
        <v>204</v>
      </c>
      <c r="G837" s="66">
        <f t="shared" si="11"/>
        <v>0</v>
      </c>
      <c r="H837" s="66">
        <v>26.27</v>
      </c>
      <c r="I837" s="66">
        <v>27.127</v>
      </c>
      <c r="J837" s="66">
        <v>26.9124</v>
      </c>
      <c r="K837" s="81">
        <f t="shared" si="2"/>
        <v>0.857</v>
      </c>
      <c r="L837" s="81">
        <f t="shared" si="3"/>
        <v>0.6424</v>
      </c>
    </row>
    <row r="838">
      <c r="A838" s="82">
        <v>44678.0</v>
      </c>
      <c r="B838" s="82">
        <v>44678.0</v>
      </c>
      <c r="C838" s="66">
        <v>2012.0</v>
      </c>
      <c r="D838" s="66" t="s">
        <v>203</v>
      </c>
      <c r="E838" s="66">
        <v>0.0</v>
      </c>
      <c r="F838" s="66" t="s">
        <v>204</v>
      </c>
      <c r="G838" s="66">
        <f t="shared" si="11"/>
        <v>0</v>
      </c>
      <c r="H838" s="66">
        <v>25.14</v>
      </c>
      <c r="I838" s="66">
        <v>26.574</v>
      </c>
      <c r="J838" s="66">
        <v>26.3261</v>
      </c>
      <c r="K838" s="81">
        <f t="shared" si="2"/>
        <v>1.434</v>
      </c>
      <c r="L838" s="81">
        <f t="shared" si="3"/>
        <v>1.1861</v>
      </c>
    </row>
    <row r="839">
      <c r="A839" s="82">
        <v>44678.0</v>
      </c>
      <c r="B839" s="82">
        <v>44678.0</v>
      </c>
      <c r="C839" s="66">
        <v>2091.0</v>
      </c>
      <c r="D839" s="66" t="s">
        <v>203</v>
      </c>
      <c r="E839" s="66">
        <v>0.0</v>
      </c>
      <c r="F839" s="66" t="s">
        <v>204</v>
      </c>
      <c r="G839" s="66">
        <f t="shared" si="11"/>
        <v>0</v>
      </c>
      <c r="H839" s="66">
        <v>26.435</v>
      </c>
      <c r="I839" s="66">
        <v>26.845</v>
      </c>
      <c r="J839" s="66">
        <v>26.5917</v>
      </c>
      <c r="K839" s="81">
        <f t="shared" si="2"/>
        <v>0.41</v>
      </c>
      <c r="L839" s="81">
        <f t="shared" si="3"/>
        <v>0.1567</v>
      </c>
    </row>
    <row r="840">
      <c r="A840" s="82">
        <v>44678.0</v>
      </c>
      <c r="B840" s="82">
        <v>44678.0</v>
      </c>
      <c r="C840" s="66">
        <v>2022.0</v>
      </c>
      <c r="D840" s="66" t="s">
        <v>203</v>
      </c>
      <c r="E840" s="66">
        <v>1.0</v>
      </c>
      <c r="F840" s="66" t="s">
        <v>204</v>
      </c>
      <c r="G840" s="66">
        <f t="shared" si="11"/>
        <v>0</v>
      </c>
      <c r="H840" s="66">
        <v>14.9128</v>
      </c>
      <c r="I840" s="66">
        <v>16.381</v>
      </c>
      <c r="J840" s="66">
        <v>15.489</v>
      </c>
      <c r="K840" s="81">
        <f t="shared" si="2"/>
        <v>1.4682</v>
      </c>
      <c r="L840" s="81">
        <f t="shared" si="3"/>
        <v>0.5762</v>
      </c>
    </row>
    <row r="841">
      <c r="A841" s="82">
        <v>44678.0</v>
      </c>
      <c r="B841" s="82">
        <v>44678.0</v>
      </c>
      <c r="C841" s="66">
        <v>2026.0</v>
      </c>
      <c r="D841" s="66" t="s">
        <v>203</v>
      </c>
      <c r="E841" s="66">
        <v>0.0</v>
      </c>
      <c r="F841" s="66" t="s">
        <v>205</v>
      </c>
      <c r="G841" s="66">
        <f t="shared" si="11"/>
        <v>0</v>
      </c>
      <c r="H841" s="66">
        <v>26.2037</v>
      </c>
      <c r="I841" s="66">
        <v>32.308</v>
      </c>
      <c r="J841" s="66">
        <v>29.3333</v>
      </c>
      <c r="K841" s="81">
        <f t="shared" si="2"/>
        <v>6.1043</v>
      </c>
      <c r="L841" s="81">
        <f t="shared" si="3"/>
        <v>3.1296</v>
      </c>
    </row>
    <row r="842">
      <c r="A842" s="82">
        <v>44678.0</v>
      </c>
      <c r="B842" s="82">
        <v>44678.0</v>
      </c>
      <c r="C842" s="66">
        <v>2022.0</v>
      </c>
      <c r="D842" s="66" t="s">
        <v>203</v>
      </c>
      <c r="E842" s="66">
        <v>0.0</v>
      </c>
      <c r="F842" s="66" t="s">
        <v>205</v>
      </c>
      <c r="G842" s="66">
        <f t="shared" si="11"/>
        <v>0</v>
      </c>
      <c r="H842" s="66">
        <v>25.909</v>
      </c>
      <c r="I842" s="66">
        <v>32.608</v>
      </c>
      <c r="J842" s="66">
        <v>29.9796</v>
      </c>
      <c r="K842" s="81">
        <f t="shared" si="2"/>
        <v>6.699</v>
      </c>
      <c r="L842" s="81">
        <f t="shared" si="3"/>
        <v>4.0706</v>
      </c>
    </row>
    <row r="843">
      <c r="A843" s="82">
        <v>44678.0</v>
      </c>
      <c r="B843" s="82">
        <v>44678.0</v>
      </c>
      <c r="C843" s="66">
        <v>2086.0</v>
      </c>
      <c r="D843" s="66" t="s">
        <v>203</v>
      </c>
      <c r="E843" s="66">
        <v>0.0</v>
      </c>
      <c r="F843" s="66" t="s">
        <v>204</v>
      </c>
      <c r="G843" s="66">
        <f t="shared" si="11"/>
        <v>0</v>
      </c>
      <c r="H843" s="66">
        <v>15.2644</v>
      </c>
      <c r="I843" s="66">
        <v>16.577</v>
      </c>
      <c r="J843" s="66">
        <v>15.818</v>
      </c>
      <c r="K843" s="81">
        <f t="shared" si="2"/>
        <v>1.3126</v>
      </c>
      <c r="L843" s="81">
        <f t="shared" si="3"/>
        <v>0.5536</v>
      </c>
    </row>
    <row r="844">
      <c r="A844" s="82">
        <v>44678.0</v>
      </c>
      <c r="B844" s="82">
        <v>44678.0</v>
      </c>
      <c r="C844" s="66">
        <v>2006.0</v>
      </c>
      <c r="D844" s="66" t="s">
        <v>203</v>
      </c>
      <c r="E844" s="66">
        <v>0.0</v>
      </c>
      <c r="F844" s="66" t="s">
        <v>204</v>
      </c>
      <c r="G844" s="66">
        <f t="shared" si="11"/>
        <v>0</v>
      </c>
      <c r="H844" s="66">
        <v>25.8457</v>
      </c>
      <c r="I844" s="66">
        <v>26.501</v>
      </c>
      <c r="J844" s="66">
        <v>25.9476</v>
      </c>
      <c r="K844" s="81">
        <f t="shared" si="2"/>
        <v>0.6553</v>
      </c>
      <c r="L844" s="81">
        <f t="shared" si="3"/>
        <v>0.1019</v>
      </c>
    </row>
    <row r="845">
      <c r="A845" s="82">
        <v>44678.0</v>
      </c>
      <c r="B845" s="82">
        <v>44678.0</v>
      </c>
      <c r="C845" s="66">
        <v>2027.0</v>
      </c>
      <c r="D845" s="66" t="s">
        <v>203</v>
      </c>
      <c r="E845" s="66">
        <v>0.0</v>
      </c>
      <c r="F845" s="66" t="s">
        <v>204</v>
      </c>
      <c r="G845" s="66">
        <f t="shared" si="11"/>
        <v>0</v>
      </c>
      <c r="H845" s="66">
        <v>26.463</v>
      </c>
      <c r="I845" s="66">
        <v>26.722</v>
      </c>
      <c r="J845" s="66">
        <v>26.5978</v>
      </c>
      <c r="K845" s="81">
        <f t="shared" si="2"/>
        <v>0.259</v>
      </c>
      <c r="L845" s="81">
        <f t="shared" si="3"/>
        <v>0.1348</v>
      </c>
    </row>
    <row r="846">
      <c r="A846" s="82">
        <v>44678.0</v>
      </c>
      <c r="B846" s="82">
        <v>44678.0</v>
      </c>
      <c r="C846" s="66">
        <v>2022.0</v>
      </c>
      <c r="D846" s="66" t="s">
        <v>203</v>
      </c>
      <c r="E846" s="66">
        <v>1.0</v>
      </c>
      <c r="F846" s="66" t="s">
        <v>205</v>
      </c>
      <c r="G846" s="66">
        <f t="shared" si="11"/>
        <v>0</v>
      </c>
      <c r="H846" s="66">
        <v>25.479</v>
      </c>
      <c r="I846" s="66">
        <v>31.345</v>
      </c>
      <c r="J846" s="66">
        <v>28.7451</v>
      </c>
      <c r="K846" s="81">
        <f t="shared" si="2"/>
        <v>5.866</v>
      </c>
      <c r="L846" s="81">
        <f t="shared" si="3"/>
        <v>3.2661</v>
      </c>
    </row>
    <row r="847">
      <c r="A847" s="82">
        <v>44678.0</v>
      </c>
      <c r="B847" s="82">
        <v>44678.0</v>
      </c>
      <c r="C847" s="66">
        <v>2027.0</v>
      </c>
      <c r="D847" s="66" t="s">
        <v>203</v>
      </c>
      <c r="E847" s="66">
        <v>0.0</v>
      </c>
      <c r="F847" s="66" t="s">
        <v>205</v>
      </c>
      <c r="G847" s="66">
        <f t="shared" si="11"/>
        <v>0</v>
      </c>
      <c r="H847" s="66">
        <v>26.0051</v>
      </c>
      <c r="I847" s="66">
        <v>30.078</v>
      </c>
      <c r="J847" s="66">
        <v>28.0343</v>
      </c>
      <c r="K847" s="81">
        <f t="shared" si="2"/>
        <v>4.0729</v>
      </c>
      <c r="L847" s="81">
        <f t="shared" si="3"/>
        <v>2.0292</v>
      </c>
    </row>
    <row r="848">
      <c r="A848" s="82">
        <v>44678.0</v>
      </c>
      <c r="B848" s="82">
        <v>44678.0</v>
      </c>
      <c r="C848" s="66">
        <v>2089.0</v>
      </c>
      <c r="D848" s="66" t="s">
        <v>203</v>
      </c>
      <c r="E848" s="66">
        <v>0.0</v>
      </c>
      <c r="F848" s="66" t="s">
        <v>205</v>
      </c>
      <c r="G848" s="66">
        <f t="shared" si="11"/>
        <v>0</v>
      </c>
      <c r="H848" s="66">
        <v>25.9236</v>
      </c>
      <c r="I848" s="66">
        <v>26.555</v>
      </c>
      <c r="J848" s="66">
        <v>26.0426</v>
      </c>
      <c r="K848" s="81">
        <f t="shared" si="2"/>
        <v>0.6314</v>
      </c>
      <c r="L848" s="81">
        <f t="shared" si="3"/>
        <v>0.119</v>
      </c>
    </row>
    <row r="849">
      <c r="A849" s="82">
        <v>44678.0</v>
      </c>
      <c r="B849" s="82">
        <v>44678.0</v>
      </c>
      <c r="C849" s="66">
        <v>2022.0</v>
      </c>
      <c r="D849" s="66" t="s">
        <v>203</v>
      </c>
      <c r="E849" s="66">
        <v>0.0</v>
      </c>
      <c r="F849" s="66" t="s">
        <v>204</v>
      </c>
      <c r="G849" s="66">
        <f t="shared" si="11"/>
        <v>0</v>
      </c>
      <c r="H849" s="66">
        <v>25.9086</v>
      </c>
      <c r="I849" s="66">
        <v>26.453</v>
      </c>
      <c r="J849" s="66">
        <v>26.1394</v>
      </c>
      <c r="K849" s="81">
        <f t="shared" si="2"/>
        <v>0.5444</v>
      </c>
      <c r="L849" s="81">
        <f t="shared" si="3"/>
        <v>0.2308</v>
      </c>
    </row>
    <row r="850">
      <c r="A850" s="82">
        <v>44678.0</v>
      </c>
      <c r="B850" s="82">
        <v>44678.0</v>
      </c>
      <c r="C850" s="66">
        <v>2005.0</v>
      </c>
      <c r="D850" s="66" t="s">
        <v>203</v>
      </c>
      <c r="E850" s="66">
        <v>0.0</v>
      </c>
      <c r="F850" s="66" t="s">
        <v>205</v>
      </c>
      <c r="G850" s="66">
        <f t="shared" si="11"/>
        <v>0</v>
      </c>
      <c r="H850" s="66">
        <v>26.0914</v>
      </c>
      <c r="I850" s="66">
        <v>34.863</v>
      </c>
      <c r="J850" s="66">
        <v>30.4383</v>
      </c>
      <c r="K850" s="81">
        <f t="shared" si="2"/>
        <v>8.7716</v>
      </c>
      <c r="L850" s="81">
        <f t="shared" si="3"/>
        <v>4.3469</v>
      </c>
    </row>
    <row r="851">
      <c r="A851" s="82">
        <v>44678.0</v>
      </c>
      <c r="B851" s="82">
        <v>44678.0</v>
      </c>
      <c r="C851" s="66">
        <v>2024.0</v>
      </c>
      <c r="D851" s="66" t="s">
        <v>203</v>
      </c>
      <c r="E851" s="66">
        <v>0.0</v>
      </c>
      <c r="F851" s="66" t="s">
        <v>205</v>
      </c>
      <c r="G851" s="66">
        <f t="shared" si="11"/>
        <v>0</v>
      </c>
      <c r="H851" s="66">
        <v>25.7575</v>
      </c>
      <c r="I851" s="66">
        <v>31.13</v>
      </c>
      <c r="J851" s="66">
        <v>28.3698</v>
      </c>
      <c r="K851" s="81">
        <f t="shared" si="2"/>
        <v>5.3725</v>
      </c>
      <c r="L851" s="81">
        <f t="shared" si="3"/>
        <v>2.6123</v>
      </c>
    </row>
    <row r="852">
      <c r="A852" s="82">
        <v>44678.0</v>
      </c>
      <c r="B852" s="82">
        <v>44678.0</v>
      </c>
      <c r="C852" s="66">
        <v>2026.0</v>
      </c>
      <c r="D852" s="66" t="s">
        <v>203</v>
      </c>
      <c r="E852" s="66">
        <v>1.0</v>
      </c>
      <c r="F852" s="66" t="s">
        <v>204</v>
      </c>
      <c r="G852" s="66">
        <f t="shared" si="11"/>
        <v>0</v>
      </c>
      <c r="H852" s="66">
        <v>26.6622</v>
      </c>
      <c r="I852" s="66">
        <v>27.648</v>
      </c>
      <c r="J852" s="66">
        <v>27.3948</v>
      </c>
      <c r="K852" s="81">
        <f t="shared" si="2"/>
        <v>0.9858</v>
      </c>
      <c r="L852" s="81">
        <f t="shared" si="3"/>
        <v>0.7326</v>
      </c>
    </row>
    <row r="853">
      <c r="A853" s="82">
        <v>44678.0</v>
      </c>
      <c r="B853" s="82">
        <v>44678.0</v>
      </c>
      <c r="C853" s="66">
        <v>2012.0</v>
      </c>
      <c r="D853" s="66" t="s">
        <v>203</v>
      </c>
      <c r="E853" s="66">
        <v>0.0</v>
      </c>
      <c r="F853" s="66" t="s">
        <v>205</v>
      </c>
      <c r="G853" s="66">
        <f t="shared" si="11"/>
        <v>0</v>
      </c>
      <c r="H853" s="66">
        <v>25.455</v>
      </c>
      <c r="I853" s="66">
        <v>29.584</v>
      </c>
      <c r="J853" s="66">
        <v>27.2961</v>
      </c>
      <c r="K853" s="81">
        <f t="shared" si="2"/>
        <v>4.129</v>
      </c>
      <c r="L853" s="81">
        <f t="shared" si="3"/>
        <v>1.8411</v>
      </c>
    </row>
    <row r="854">
      <c r="A854" s="82">
        <v>44678.0</v>
      </c>
      <c r="B854" s="82">
        <v>44678.0</v>
      </c>
      <c r="C854" s="66">
        <v>2023.0</v>
      </c>
      <c r="D854" s="66" t="s">
        <v>203</v>
      </c>
      <c r="E854" s="66">
        <v>1.0</v>
      </c>
      <c r="F854" s="66" t="s">
        <v>204</v>
      </c>
      <c r="G854" s="66">
        <f t="shared" si="11"/>
        <v>0</v>
      </c>
      <c r="H854" s="66">
        <v>25.879</v>
      </c>
      <c r="I854" s="66">
        <v>26.055</v>
      </c>
      <c r="J854" s="66">
        <v>26.1568</v>
      </c>
      <c r="K854" s="81">
        <f t="shared" si="2"/>
        <v>0.176</v>
      </c>
      <c r="L854" s="81">
        <f t="shared" si="3"/>
        <v>0.2778</v>
      </c>
    </row>
    <row r="855">
      <c r="A855" s="82">
        <v>44678.0</v>
      </c>
      <c r="B855" s="82">
        <v>44678.0</v>
      </c>
      <c r="C855" s="66">
        <v>2024.0</v>
      </c>
      <c r="D855" s="66" t="s">
        <v>203</v>
      </c>
      <c r="E855" s="66">
        <v>0.0</v>
      </c>
      <c r="F855" s="66" t="s">
        <v>204</v>
      </c>
      <c r="G855" s="66">
        <f t="shared" si="11"/>
        <v>0</v>
      </c>
      <c r="H855" s="66">
        <v>26.1824</v>
      </c>
      <c r="I855" s="66">
        <v>26.548</v>
      </c>
      <c r="J855" s="66">
        <v>26.5366</v>
      </c>
      <c r="K855" s="81">
        <f t="shared" si="2"/>
        <v>0.3656</v>
      </c>
      <c r="L855" s="81">
        <f t="shared" si="3"/>
        <v>0.3542</v>
      </c>
    </row>
    <row r="856">
      <c r="A856" s="82">
        <v>44678.0</v>
      </c>
      <c r="B856" s="82">
        <v>44678.0</v>
      </c>
      <c r="C856" s="66">
        <v>2090.0</v>
      </c>
      <c r="D856" s="66" t="s">
        <v>203</v>
      </c>
      <c r="E856" s="66">
        <v>1.0</v>
      </c>
      <c r="F856" s="66" t="s">
        <v>204</v>
      </c>
      <c r="G856" s="66">
        <f t="shared" si="11"/>
        <v>0</v>
      </c>
      <c r="H856" s="66">
        <v>26.1944</v>
      </c>
      <c r="I856" s="66">
        <v>28.269</v>
      </c>
      <c r="J856" s="66">
        <v>27.2115</v>
      </c>
      <c r="K856" s="81">
        <f t="shared" si="2"/>
        <v>2.0746</v>
      </c>
      <c r="L856" s="81">
        <f t="shared" si="3"/>
        <v>1.0171</v>
      </c>
    </row>
    <row r="857">
      <c r="A857" s="82">
        <v>44678.0</v>
      </c>
      <c r="B857" s="82">
        <v>44678.0</v>
      </c>
      <c r="C857" s="66">
        <v>2089.0</v>
      </c>
      <c r="D857" s="66" t="s">
        <v>203</v>
      </c>
      <c r="E857" s="66">
        <v>1.0</v>
      </c>
      <c r="F857" s="66" t="s">
        <v>205</v>
      </c>
      <c r="G857" s="66">
        <f t="shared" si="11"/>
        <v>0</v>
      </c>
      <c r="H857" s="66">
        <v>25.3934</v>
      </c>
      <c r="I857" s="66">
        <v>29.527</v>
      </c>
      <c r="J857" s="66">
        <v>27.7629</v>
      </c>
      <c r="K857" s="81">
        <f t="shared" si="2"/>
        <v>4.1336</v>
      </c>
      <c r="L857" s="81">
        <f t="shared" si="3"/>
        <v>2.3695</v>
      </c>
    </row>
    <row r="858">
      <c r="A858" s="82">
        <v>44678.0</v>
      </c>
      <c r="B858" s="82">
        <v>44678.0</v>
      </c>
      <c r="C858" s="66">
        <v>2022.0</v>
      </c>
      <c r="D858" s="66" t="s">
        <v>203</v>
      </c>
      <c r="E858" s="66">
        <v>0.0</v>
      </c>
      <c r="F858" s="66" t="s">
        <v>205</v>
      </c>
      <c r="G858" s="66">
        <f t="shared" si="11"/>
        <v>0</v>
      </c>
      <c r="H858" s="66">
        <v>26.5727</v>
      </c>
      <c r="I858" s="66">
        <v>31.127</v>
      </c>
      <c r="J858" s="66">
        <v>28.8199</v>
      </c>
      <c r="K858" s="81">
        <f t="shared" si="2"/>
        <v>4.5543</v>
      </c>
      <c r="L858" s="81">
        <f t="shared" si="3"/>
        <v>2.2472</v>
      </c>
    </row>
    <row r="859">
      <c r="A859" s="82">
        <v>44678.0</v>
      </c>
      <c r="B859" s="82">
        <v>44678.0</v>
      </c>
      <c r="C859" s="66">
        <v>2091.0</v>
      </c>
      <c r="D859" s="66" t="s">
        <v>203</v>
      </c>
      <c r="E859" s="66">
        <v>1.0</v>
      </c>
      <c r="F859" s="66" t="s">
        <v>204</v>
      </c>
      <c r="G859" s="66">
        <f t="shared" si="11"/>
        <v>0</v>
      </c>
      <c r="H859" s="66">
        <v>26.5318</v>
      </c>
      <c r="I859" s="66">
        <v>27.301</v>
      </c>
      <c r="J859" s="66">
        <v>27.0997</v>
      </c>
      <c r="K859" s="81">
        <f t="shared" si="2"/>
        <v>0.7692</v>
      </c>
      <c r="L859" s="81">
        <f t="shared" si="3"/>
        <v>0.5679</v>
      </c>
    </row>
    <row r="860">
      <c r="A860" s="82">
        <v>44678.0</v>
      </c>
      <c r="B860" s="82">
        <v>44678.0</v>
      </c>
      <c r="C860" s="66">
        <v>2090.0</v>
      </c>
      <c r="D860" s="66" t="s">
        <v>203</v>
      </c>
      <c r="E860" s="66">
        <v>0.0</v>
      </c>
      <c r="F860" s="66" t="s">
        <v>204</v>
      </c>
      <c r="G860" s="66">
        <f t="shared" si="11"/>
        <v>0</v>
      </c>
      <c r="H860" s="66">
        <v>25.8556</v>
      </c>
      <c r="I860" s="66">
        <v>26.597</v>
      </c>
      <c r="J860" s="66">
        <v>26.1508</v>
      </c>
      <c r="K860" s="81">
        <f t="shared" si="2"/>
        <v>0.7414</v>
      </c>
      <c r="L860" s="81">
        <f t="shared" si="3"/>
        <v>0.2952</v>
      </c>
    </row>
    <row r="861">
      <c r="A861" s="82">
        <v>44678.0</v>
      </c>
      <c r="B861" s="82">
        <v>44678.0</v>
      </c>
      <c r="C861" s="66">
        <v>2022.0</v>
      </c>
      <c r="D861" s="66" t="s">
        <v>203</v>
      </c>
      <c r="E861" s="66">
        <v>0.0</v>
      </c>
      <c r="F861" s="66" t="s">
        <v>204</v>
      </c>
      <c r="G861" s="66">
        <f t="shared" si="11"/>
        <v>0</v>
      </c>
      <c r="H861" s="66">
        <v>15.1537</v>
      </c>
      <c r="I861" s="66">
        <v>15.575</v>
      </c>
      <c r="J861" s="66">
        <v>15.29</v>
      </c>
      <c r="K861" s="81">
        <f t="shared" si="2"/>
        <v>0.4213</v>
      </c>
      <c r="L861" s="81">
        <f t="shared" si="3"/>
        <v>0.1363</v>
      </c>
    </row>
    <row r="862">
      <c r="A862" s="82">
        <v>44678.0</v>
      </c>
      <c r="B862" s="82">
        <v>44678.0</v>
      </c>
      <c r="C862" s="66">
        <v>2005.0</v>
      </c>
      <c r="D862" s="66" t="s">
        <v>203</v>
      </c>
      <c r="E862" s="66">
        <v>1.0</v>
      </c>
      <c r="F862" s="66" t="s">
        <v>204</v>
      </c>
      <c r="G862" s="66">
        <f t="shared" si="11"/>
        <v>0</v>
      </c>
      <c r="H862" s="66">
        <v>25.5918</v>
      </c>
      <c r="I862" s="66">
        <v>27.36</v>
      </c>
      <c r="J862" s="66">
        <v>26.3113</v>
      </c>
      <c r="K862" s="81">
        <f t="shared" si="2"/>
        <v>1.7682</v>
      </c>
      <c r="L862" s="81">
        <f t="shared" si="3"/>
        <v>0.7195</v>
      </c>
    </row>
    <row r="863">
      <c r="A863" s="82">
        <v>44678.0</v>
      </c>
      <c r="B863" s="82">
        <v>44678.0</v>
      </c>
      <c r="C863" s="66">
        <v>2026.0</v>
      </c>
      <c r="D863" s="66" t="s">
        <v>203</v>
      </c>
      <c r="E863" s="66">
        <v>0.0</v>
      </c>
      <c r="F863" s="66" t="s">
        <v>204</v>
      </c>
      <c r="G863" s="66">
        <f t="shared" si="11"/>
        <v>0</v>
      </c>
      <c r="H863" s="66">
        <v>25.6726</v>
      </c>
      <c r="I863" s="66">
        <v>26.6</v>
      </c>
      <c r="J863" s="66">
        <v>26.067</v>
      </c>
      <c r="K863" s="81">
        <f t="shared" si="2"/>
        <v>0.9274</v>
      </c>
      <c r="L863" s="81">
        <f t="shared" si="3"/>
        <v>0.3944</v>
      </c>
    </row>
    <row r="864">
      <c r="A864" s="82">
        <v>44678.0</v>
      </c>
      <c r="B864" s="82">
        <v>44678.0</v>
      </c>
      <c r="C864" s="66">
        <v>2030.0</v>
      </c>
      <c r="D864" s="66" t="s">
        <v>203</v>
      </c>
      <c r="E864" s="66">
        <v>0.0</v>
      </c>
      <c r="F864" s="66" t="s">
        <v>205</v>
      </c>
      <c r="G864" s="66">
        <f t="shared" si="11"/>
        <v>0</v>
      </c>
      <c r="H864" s="66">
        <v>25.8823</v>
      </c>
      <c r="I864" s="66">
        <v>31.975</v>
      </c>
      <c r="J864" s="66">
        <v>28.857</v>
      </c>
      <c r="K864" s="81">
        <f t="shared" si="2"/>
        <v>6.0927</v>
      </c>
      <c r="L864" s="81">
        <f t="shared" si="3"/>
        <v>2.9747</v>
      </c>
    </row>
    <row r="865">
      <c r="A865" s="82">
        <v>44678.0</v>
      </c>
      <c r="B865" s="82">
        <v>44678.0</v>
      </c>
      <c r="C865" s="66">
        <v>2091.0</v>
      </c>
      <c r="D865" s="66" t="s">
        <v>203</v>
      </c>
      <c r="E865" s="66">
        <v>1.0</v>
      </c>
      <c r="F865" s="66" t="s">
        <v>205</v>
      </c>
      <c r="G865" s="66">
        <f t="shared" si="11"/>
        <v>0</v>
      </c>
      <c r="H865" s="66">
        <v>25.5856</v>
      </c>
      <c r="I865" s="66">
        <v>28.915</v>
      </c>
      <c r="J865" s="66">
        <v>27.2908</v>
      </c>
      <c r="K865" s="81">
        <f t="shared" si="2"/>
        <v>3.3294</v>
      </c>
      <c r="L865" s="81">
        <f t="shared" si="3"/>
        <v>1.7052</v>
      </c>
    </row>
    <row r="866">
      <c r="A866" s="82">
        <v>44678.0</v>
      </c>
      <c r="B866" s="82">
        <v>44678.0</v>
      </c>
      <c r="C866" s="66">
        <v>2022.0</v>
      </c>
      <c r="D866" s="66" t="s">
        <v>203</v>
      </c>
      <c r="E866" s="66">
        <v>1.0</v>
      </c>
      <c r="F866" s="66" t="s">
        <v>204</v>
      </c>
      <c r="G866" s="66">
        <f t="shared" si="11"/>
        <v>0</v>
      </c>
      <c r="H866" s="66">
        <v>25.4781</v>
      </c>
      <c r="I866" s="66">
        <v>27.298</v>
      </c>
      <c r="J866" s="66">
        <v>26.304</v>
      </c>
      <c r="K866" s="81">
        <f t="shared" si="2"/>
        <v>1.8199</v>
      </c>
      <c r="L866" s="81">
        <f t="shared" si="3"/>
        <v>0.8259</v>
      </c>
    </row>
    <row r="867">
      <c r="A867" s="82">
        <v>44678.0</v>
      </c>
      <c r="B867" s="82">
        <v>44678.0</v>
      </c>
      <c r="C867" s="66">
        <v>2006.0</v>
      </c>
      <c r="D867" s="66" t="s">
        <v>203</v>
      </c>
      <c r="E867" s="66">
        <v>1.0</v>
      </c>
      <c r="F867" s="66" t="s">
        <v>204</v>
      </c>
      <c r="G867" s="66">
        <f t="shared" si="11"/>
        <v>0</v>
      </c>
      <c r="H867" s="66">
        <v>26.555</v>
      </c>
      <c r="I867" s="66">
        <v>26.88</v>
      </c>
      <c r="J867" s="66">
        <v>26.9153</v>
      </c>
      <c r="K867" s="81">
        <f t="shared" si="2"/>
        <v>0.325</v>
      </c>
      <c r="L867" s="81">
        <f t="shared" si="3"/>
        <v>0.3603</v>
      </c>
    </row>
    <row r="868">
      <c r="A868" s="82">
        <v>44678.0</v>
      </c>
      <c r="B868" s="82">
        <v>44678.0</v>
      </c>
      <c r="C868" s="66">
        <v>2025.0</v>
      </c>
      <c r="D868" s="66" t="s">
        <v>203</v>
      </c>
      <c r="E868" s="66">
        <v>0.0</v>
      </c>
      <c r="F868" s="66" t="s">
        <v>205</v>
      </c>
      <c r="G868" s="66">
        <f t="shared" si="11"/>
        <v>0</v>
      </c>
      <c r="H868" s="66">
        <v>25.8849</v>
      </c>
      <c r="I868" s="66">
        <v>31.542</v>
      </c>
      <c r="J868" s="66">
        <v>28.6462</v>
      </c>
      <c r="K868" s="81">
        <f t="shared" si="2"/>
        <v>5.6571</v>
      </c>
      <c r="L868" s="81">
        <f t="shared" si="3"/>
        <v>2.7613</v>
      </c>
    </row>
    <row r="869">
      <c r="A869" s="82">
        <v>44678.0</v>
      </c>
      <c r="B869" s="82">
        <v>44678.0</v>
      </c>
      <c r="C869" s="66">
        <v>2086.0</v>
      </c>
      <c r="D869" s="66" t="s">
        <v>203</v>
      </c>
      <c r="E869" s="66">
        <v>1.0</v>
      </c>
      <c r="F869" s="66" t="s">
        <v>204</v>
      </c>
      <c r="G869" s="66">
        <f t="shared" si="11"/>
        <v>0</v>
      </c>
      <c r="H869" s="66">
        <v>26.4658</v>
      </c>
      <c r="I869" s="66">
        <v>37.354</v>
      </c>
      <c r="J869" s="66">
        <v>26.8859</v>
      </c>
      <c r="K869" s="81">
        <f t="shared" si="2"/>
        <v>10.8882</v>
      </c>
      <c r="L869" s="81">
        <f t="shared" si="3"/>
        <v>0.4201</v>
      </c>
    </row>
    <row r="870">
      <c r="A870" s="82">
        <v>44678.0</v>
      </c>
      <c r="B870" s="82">
        <v>44678.0</v>
      </c>
      <c r="C870" s="66">
        <v>2024.0</v>
      </c>
      <c r="D870" s="66" t="s">
        <v>203</v>
      </c>
      <c r="E870" s="66">
        <v>1.0</v>
      </c>
      <c r="F870" s="66" t="s">
        <v>204</v>
      </c>
      <c r="G870" s="66">
        <f t="shared" si="11"/>
        <v>0</v>
      </c>
      <c r="H870" s="66">
        <v>25.4383</v>
      </c>
      <c r="I870" s="66">
        <v>26.845</v>
      </c>
      <c r="J870" s="66">
        <v>25.9592</v>
      </c>
      <c r="K870" s="81">
        <f t="shared" si="2"/>
        <v>1.4067</v>
      </c>
      <c r="L870" s="81">
        <f t="shared" si="3"/>
        <v>0.5209</v>
      </c>
    </row>
    <row r="871">
      <c r="A871" s="82">
        <v>44678.0</v>
      </c>
      <c r="B871" s="82">
        <v>44678.0</v>
      </c>
      <c r="C871" s="66">
        <v>2021.0</v>
      </c>
      <c r="D871" s="66" t="s">
        <v>203</v>
      </c>
      <c r="E871" s="66">
        <v>1.0</v>
      </c>
      <c r="F871" s="66" t="s">
        <v>204</v>
      </c>
      <c r="G871" s="66">
        <f t="shared" si="11"/>
        <v>0</v>
      </c>
      <c r="H871" s="66">
        <v>26.3299</v>
      </c>
      <c r="I871" s="66">
        <v>27.845</v>
      </c>
      <c r="J871" s="66">
        <v>27.1118</v>
      </c>
      <c r="K871" s="81">
        <f t="shared" si="2"/>
        <v>1.5151</v>
      </c>
      <c r="L871" s="81">
        <f t="shared" si="3"/>
        <v>0.7819</v>
      </c>
    </row>
    <row r="872">
      <c r="A872" s="82">
        <v>44678.0</v>
      </c>
      <c r="B872" s="82">
        <v>44678.0</v>
      </c>
      <c r="C872" s="66">
        <v>2030.0</v>
      </c>
      <c r="D872" s="66" t="s">
        <v>203</v>
      </c>
      <c r="E872" s="66">
        <v>1.0</v>
      </c>
      <c r="F872" s="66" t="s">
        <v>205</v>
      </c>
      <c r="G872" s="66">
        <f t="shared" si="11"/>
        <v>0</v>
      </c>
      <c r="H872" s="66">
        <v>24.5699</v>
      </c>
      <c r="I872" s="66">
        <v>32.099</v>
      </c>
      <c r="J872" s="66">
        <v>26.3523</v>
      </c>
      <c r="K872" s="81">
        <f t="shared" si="2"/>
        <v>7.5291</v>
      </c>
      <c r="L872" s="81">
        <f t="shared" si="3"/>
        <v>1.7824</v>
      </c>
    </row>
    <row r="873">
      <c r="A873" s="82">
        <v>44678.0</v>
      </c>
      <c r="B873" s="82">
        <v>44678.0</v>
      </c>
      <c r="C873" s="66">
        <v>2023.0</v>
      </c>
      <c r="D873" s="66" t="s">
        <v>203</v>
      </c>
      <c r="E873" s="66">
        <v>1.0</v>
      </c>
      <c r="F873" s="66" t="s">
        <v>205</v>
      </c>
      <c r="G873" s="66">
        <f t="shared" si="11"/>
        <v>0</v>
      </c>
      <c r="H873" s="66">
        <v>25.2559</v>
      </c>
      <c r="I873" s="66">
        <v>28.907</v>
      </c>
      <c r="J873" s="66">
        <v>27.1311</v>
      </c>
      <c r="K873" s="81">
        <f t="shared" si="2"/>
        <v>3.6511</v>
      </c>
      <c r="L873" s="81">
        <f t="shared" si="3"/>
        <v>1.8752</v>
      </c>
    </row>
    <row r="874">
      <c r="A874" s="82">
        <v>44678.0</v>
      </c>
      <c r="B874" s="82">
        <v>44678.0</v>
      </c>
      <c r="C874" s="66">
        <v>2013.0</v>
      </c>
      <c r="D874" s="66" t="s">
        <v>203</v>
      </c>
      <c r="E874" s="66">
        <v>0.0</v>
      </c>
      <c r="F874" s="66" t="s">
        <v>205</v>
      </c>
      <c r="G874" s="66">
        <f t="shared" si="11"/>
        <v>0</v>
      </c>
      <c r="H874" s="66">
        <v>26.0369</v>
      </c>
      <c r="I874" s="66">
        <v>37.582</v>
      </c>
      <c r="J874" s="66">
        <v>31.1826</v>
      </c>
      <c r="K874" s="81">
        <f t="shared" si="2"/>
        <v>11.5451</v>
      </c>
      <c r="L874" s="81">
        <f t="shared" si="3"/>
        <v>5.1457</v>
      </c>
    </row>
    <row r="875">
      <c r="A875" s="82">
        <v>44678.0</v>
      </c>
      <c r="B875" s="82">
        <v>44678.0</v>
      </c>
      <c r="C875" s="66">
        <v>2091.0</v>
      </c>
      <c r="D875" s="66" t="s">
        <v>203</v>
      </c>
      <c r="E875" s="66">
        <v>0.0</v>
      </c>
      <c r="F875" s="66" t="s">
        <v>205</v>
      </c>
      <c r="G875" s="66">
        <f t="shared" si="11"/>
        <v>0</v>
      </c>
      <c r="H875" s="66">
        <v>26.2297</v>
      </c>
      <c r="I875" s="66">
        <v>30.879</v>
      </c>
      <c r="J875" s="66">
        <v>27.9263</v>
      </c>
      <c r="K875" s="81">
        <f t="shared" si="2"/>
        <v>4.6493</v>
      </c>
      <c r="L875" s="81">
        <f t="shared" si="3"/>
        <v>1.6966</v>
      </c>
    </row>
    <row r="876">
      <c r="A876" s="82">
        <v>44678.0</v>
      </c>
      <c r="B876" s="82">
        <v>44678.0</v>
      </c>
      <c r="C876" s="66">
        <v>2006.0</v>
      </c>
      <c r="D876" s="66" t="s">
        <v>203</v>
      </c>
      <c r="E876" s="66">
        <v>0.0</v>
      </c>
      <c r="F876" s="66" t="s">
        <v>205</v>
      </c>
      <c r="G876" s="66">
        <f t="shared" si="11"/>
        <v>0</v>
      </c>
      <c r="H876" s="66">
        <v>26.0014</v>
      </c>
      <c r="I876" s="66">
        <v>30.642</v>
      </c>
      <c r="J876" s="66">
        <v>28.1502</v>
      </c>
      <c r="K876" s="81">
        <f t="shared" si="2"/>
        <v>4.6406</v>
      </c>
      <c r="L876" s="81">
        <f t="shared" si="3"/>
        <v>2.1488</v>
      </c>
    </row>
    <row r="877">
      <c r="A877" s="82">
        <v>44678.0</v>
      </c>
      <c r="B877" s="82">
        <v>44678.0</v>
      </c>
      <c r="C877" s="66">
        <v>2030.0</v>
      </c>
      <c r="D877" s="66" t="s">
        <v>203</v>
      </c>
      <c r="E877" s="66">
        <v>1.0</v>
      </c>
      <c r="F877" s="66" t="s">
        <v>204</v>
      </c>
      <c r="G877" s="66">
        <f t="shared" si="11"/>
        <v>0</v>
      </c>
      <c r="H877" s="66">
        <v>6.2784</v>
      </c>
      <c r="I877" s="66">
        <v>7.602</v>
      </c>
      <c r="J877" s="66">
        <v>7.068</v>
      </c>
      <c r="K877" s="81">
        <f t="shared" si="2"/>
        <v>1.3236</v>
      </c>
      <c r="L877" s="81">
        <f t="shared" si="3"/>
        <v>0.7896</v>
      </c>
    </row>
    <row r="878">
      <c r="A878" s="82">
        <v>44678.0</v>
      </c>
      <c r="B878" s="82">
        <v>44678.0</v>
      </c>
      <c r="C878" s="66">
        <v>2093.0</v>
      </c>
      <c r="D878" s="66" t="s">
        <v>203</v>
      </c>
      <c r="E878" s="66">
        <v>1.0</v>
      </c>
      <c r="F878" s="66" t="s">
        <v>204</v>
      </c>
      <c r="G878" s="66">
        <f t="shared" si="11"/>
        <v>0</v>
      </c>
      <c r="H878" s="66">
        <v>6.3589</v>
      </c>
      <c r="I878" s="66">
        <v>7.381</v>
      </c>
      <c r="J878" s="66">
        <v>6.915</v>
      </c>
      <c r="K878" s="81">
        <f t="shared" si="2"/>
        <v>1.0221</v>
      </c>
      <c r="L878" s="81">
        <f t="shared" si="3"/>
        <v>0.5561</v>
      </c>
    </row>
    <row r="879">
      <c r="A879" s="82">
        <v>44678.0</v>
      </c>
      <c r="B879" s="82">
        <v>44678.0</v>
      </c>
      <c r="C879" s="66">
        <v>2089.0</v>
      </c>
      <c r="D879" s="66" t="s">
        <v>203</v>
      </c>
      <c r="E879" s="66">
        <v>1.0</v>
      </c>
      <c r="F879" s="66" t="s">
        <v>204</v>
      </c>
      <c r="G879" s="66">
        <f t="shared" si="11"/>
        <v>0</v>
      </c>
      <c r="H879" s="66">
        <v>7.3335</v>
      </c>
      <c r="I879" s="66">
        <v>8.316</v>
      </c>
      <c r="J879" s="66">
        <v>7.901</v>
      </c>
      <c r="K879" s="81">
        <f t="shared" si="2"/>
        <v>0.9825</v>
      </c>
      <c r="L879" s="81">
        <f t="shared" si="3"/>
        <v>0.5675</v>
      </c>
    </row>
    <row r="880">
      <c r="A880" s="82">
        <v>44678.0</v>
      </c>
      <c r="B880" s="82">
        <v>44678.0</v>
      </c>
      <c r="C880" s="66">
        <v>2025.0</v>
      </c>
      <c r="D880" s="66" t="s">
        <v>203</v>
      </c>
      <c r="E880" s="66">
        <v>0.0</v>
      </c>
      <c r="F880" s="66" t="s">
        <v>204</v>
      </c>
      <c r="G880" s="66">
        <f t="shared" si="11"/>
        <v>0</v>
      </c>
      <c r="H880" s="66">
        <v>7.431</v>
      </c>
      <c r="I880" s="66">
        <v>7.85</v>
      </c>
      <c r="J880" s="66">
        <v>7.668</v>
      </c>
      <c r="K880" s="81">
        <f t="shared" si="2"/>
        <v>0.419</v>
      </c>
      <c r="L880" s="81">
        <f t="shared" si="3"/>
        <v>0.237</v>
      </c>
    </row>
    <row r="881">
      <c r="A881" s="82">
        <v>44678.0</v>
      </c>
      <c r="B881" s="82">
        <v>44678.0</v>
      </c>
      <c r="C881" s="66">
        <v>2023.0</v>
      </c>
      <c r="D881" s="66" t="s">
        <v>203</v>
      </c>
      <c r="E881" s="66">
        <v>0.0</v>
      </c>
      <c r="F881" s="66" t="s">
        <v>204</v>
      </c>
      <c r="G881" s="66">
        <f t="shared" si="11"/>
        <v>0</v>
      </c>
      <c r="H881" s="66">
        <v>7.4606</v>
      </c>
      <c r="I881" s="66">
        <v>7.687</v>
      </c>
      <c r="J881" s="66">
        <v>7.6235</v>
      </c>
      <c r="K881" s="81">
        <f t="shared" si="2"/>
        <v>0.2264</v>
      </c>
      <c r="L881" s="81">
        <f t="shared" si="3"/>
        <v>0.1629</v>
      </c>
      <c r="N881" s="66" t="s">
        <v>220</v>
      </c>
    </row>
    <row r="882">
      <c r="A882" s="82">
        <v>44678.0</v>
      </c>
      <c r="B882" s="82">
        <v>44678.0</v>
      </c>
      <c r="C882" s="66">
        <v>2013.0</v>
      </c>
      <c r="D882" s="66" t="s">
        <v>203</v>
      </c>
      <c r="E882" s="66">
        <v>1.0</v>
      </c>
      <c r="F882" s="66" t="s">
        <v>204</v>
      </c>
      <c r="G882" s="66">
        <f t="shared" si="11"/>
        <v>0</v>
      </c>
      <c r="H882" s="66">
        <v>7.2988</v>
      </c>
      <c r="I882" s="66">
        <v>10.936</v>
      </c>
      <c r="J882" s="66">
        <v>9.209</v>
      </c>
      <c r="K882" s="81">
        <f t="shared" si="2"/>
        <v>3.6372</v>
      </c>
      <c r="L882" s="81">
        <f t="shared" si="3"/>
        <v>1.9102</v>
      </c>
    </row>
    <row r="883">
      <c r="A883" s="82">
        <v>44678.0</v>
      </c>
      <c r="B883" s="82">
        <v>44678.0</v>
      </c>
      <c r="C883" s="66">
        <v>2093.0</v>
      </c>
      <c r="D883" s="66" t="s">
        <v>203</v>
      </c>
      <c r="E883" s="66">
        <v>0.0</v>
      </c>
      <c r="F883" s="66" t="s">
        <v>204</v>
      </c>
      <c r="G883" s="66">
        <f t="shared" si="11"/>
        <v>0</v>
      </c>
      <c r="H883" s="66">
        <v>7.5214</v>
      </c>
      <c r="I883" s="66">
        <v>7.949</v>
      </c>
      <c r="J883" s="66">
        <v>7.7308</v>
      </c>
      <c r="K883" s="81">
        <f t="shared" si="2"/>
        <v>0.4276</v>
      </c>
      <c r="L883" s="81">
        <f t="shared" si="3"/>
        <v>0.2094</v>
      </c>
    </row>
    <row r="884">
      <c r="A884" s="82">
        <v>44678.0</v>
      </c>
      <c r="B884" s="82">
        <v>44678.0</v>
      </c>
      <c r="C884" s="66">
        <v>2089.0</v>
      </c>
      <c r="D884" s="66" t="s">
        <v>203</v>
      </c>
      <c r="E884" s="66">
        <v>0.0</v>
      </c>
      <c r="F884" s="66" t="s">
        <v>204</v>
      </c>
      <c r="G884" s="66">
        <f t="shared" si="11"/>
        <v>0</v>
      </c>
      <c r="H884" s="66">
        <v>7.4013</v>
      </c>
      <c r="I884" s="66">
        <v>7.515</v>
      </c>
      <c r="J884" s="66">
        <v>7.447</v>
      </c>
      <c r="K884" s="81">
        <f t="shared" si="2"/>
        <v>0.1137</v>
      </c>
      <c r="L884" s="81">
        <f t="shared" si="3"/>
        <v>0.0457</v>
      </c>
    </row>
    <row r="885">
      <c r="A885" s="82">
        <v>44678.0</v>
      </c>
      <c r="B885" s="82">
        <v>44678.0</v>
      </c>
      <c r="C885" s="66">
        <v>2030.0</v>
      </c>
      <c r="D885" s="66" t="s">
        <v>203</v>
      </c>
      <c r="E885" s="66">
        <v>0.0</v>
      </c>
      <c r="F885" s="66" t="s">
        <v>204</v>
      </c>
      <c r="G885" s="66">
        <f t="shared" si="11"/>
        <v>0</v>
      </c>
      <c r="H885" s="66">
        <v>7.3527</v>
      </c>
      <c r="I885" s="66">
        <v>8.179</v>
      </c>
      <c r="J885" s="66">
        <v>7.78</v>
      </c>
      <c r="K885" s="81">
        <f t="shared" si="2"/>
        <v>0.8263</v>
      </c>
      <c r="L885" s="81">
        <f t="shared" si="3"/>
        <v>0.4273</v>
      </c>
    </row>
    <row r="886">
      <c r="A886" s="82">
        <v>44678.0</v>
      </c>
      <c r="B886" s="82">
        <v>44678.0</v>
      </c>
      <c r="C886" s="66">
        <v>2013.0</v>
      </c>
      <c r="D886" s="66" t="s">
        <v>203</v>
      </c>
      <c r="E886" s="66">
        <v>0.0</v>
      </c>
      <c r="F886" s="66" t="s">
        <v>204</v>
      </c>
      <c r="G886" s="66">
        <f t="shared" si="11"/>
        <v>0</v>
      </c>
      <c r="H886" s="66">
        <v>6.3433</v>
      </c>
      <c r="I886" s="66">
        <v>8.541</v>
      </c>
      <c r="J886" s="66">
        <v>7.3452</v>
      </c>
      <c r="K886" s="81">
        <f t="shared" si="2"/>
        <v>2.1977</v>
      </c>
      <c r="L886" s="81">
        <f t="shared" si="3"/>
        <v>1.0019</v>
      </c>
    </row>
    <row r="887">
      <c r="A887" s="82">
        <v>44678.0</v>
      </c>
      <c r="B887" s="82">
        <v>44678.0</v>
      </c>
      <c r="C887" s="66">
        <v>2005.0</v>
      </c>
      <c r="D887" s="66" t="s">
        <v>203</v>
      </c>
      <c r="E887" s="66">
        <v>0.0</v>
      </c>
      <c r="F887" s="66" t="s">
        <v>204</v>
      </c>
      <c r="G887" s="66">
        <f t="shared" si="11"/>
        <v>0</v>
      </c>
      <c r="H887" s="66">
        <v>7.4265</v>
      </c>
      <c r="I887" s="66">
        <v>8.195</v>
      </c>
      <c r="J887" s="66">
        <v>7.822</v>
      </c>
      <c r="K887" s="81">
        <f t="shared" si="2"/>
        <v>0.7685</v>
      </c>
      <c r="L887" s="81">
        <f t="shared" si="3"/>
        <v>0.3955</v>
      </c>
    </row>
    <row r="888">
      <c r="A888" s="82">
        <v>44684.0</v>
      </c>
      <c r="B888" s="82">
        <v>44684.0</v>
      </c>
      <c r="C888" s="66" t="s">
        <v>213</v>
      </c>
      <c r="D888" s="66" t="s">
        <v>198</v>
      </c>
      <c r="E888" s="66">
        <v>0.0</v>
      </c>
      <c r="F888" s="66" t="s">
        <v>205</v>
      </c>
      <c r="G888" s="66">
        <f t="shared" si="11"/>
        <v>0</v>
      </c>
      <c r="H888" s="66">
        <v>66.943</v>
      </c>
      <c r="I888" s="66">
        <v>74.0793</v>
      </c>
      <c r="J888" s="66">
        <v>68.6454</v>
      </c>
      <c r="K888" s="81">
        <f t="shared" si="2"/>
        <v>7.1363</v>
      </c>
      <c r="L888" s="81">
        <f t="shared" si="3"/>
        <v>1.7024</v>
      </c>
    </row>
    <row r="889">
      <c r="A889" s="82">
        <v>44684.0</v>
      </c>
      <c r="B889" s="82">
        <v>44684.0</v>
      </c>
      <c r="C889" s="66" t="s">
        <v>213</v>
      </c>
      <c r="D889" s="66" t="s">
        <v>198</v>
      </c>
      <c r="E889" s="66">
        <v>0.0</v>
      </c>
      <c r="F889" s="66" t="s">
        <v>205</v>
      </c>
      <c r="G889" s="66">
        <f t="shared" si="11"/>
        <v>0</v>
      </c>
      <c r="H889" s="66">
        <v>67.5605</v>
      </c>
      <c r="I889" s="66">
        <v>76.4676</v>
      </c>
      <c r="J889" s="66">
        <v>69.3878</v>
      </c>
      <c r="K889" s="81">
        <f t="shared" si="2"/>
        <v>8.9071</v>
      </c>
      <c r="L889" s="81">
        <f t="shared" si="3"/>
        <v>1.8273</v>
      </c>
      <c r="M889" s="66">
        <v>2.1</v>
      </c>
    </row>
    <row r="890">
      <c r="A890" s="82">
        <v>44684.0</v>
      </c>
      <c r="B890" s="82">
        <v>44684.0</v>
      </c>
      <c r="C890" s="66" t="s">
        <v>95</v>
      </c>
      <c r="D890" s="66" t="s">
        <v>198</v>
      </c>
      <c r="E890" s="66">
        <v>0.0</v>
      </c>
      <c r="F890" s="66" t="s">
        <v>204</v>
      </c>
      <c r="G890" s="66">
        <f t="shared" si="11"/>
        <v>0</v>
      </c>
      <c r="H890" s="66">
        <v>68.2534</v>
      </c>
      <c r="I890" s="66">
        <v>69.4318</v>
      </c>
      <c r="J890" s="66">
        <v>68.4882</v>
      </c>
      <c r="K890" s="81">
        <f t="shared" si="2"/>
        <v>1.1784</v>
      </c>
      <c r="L890" s="81">
        <f t="shared" si="3"/>
        <v>0.2348</v>
      </c>
    </row>
    <row r="891">
      <c r="A891" s="82">
        <v>44684.0</v>
      </c>
      <c r="B891" s="82">
        <v>44684.0</v>
      </c>
      <c r="C891" s="66" t="s">
        <v>212</v>
      </c>
      <c r="D891" s="66" t="s">
        <v>198</v>
      </c>
      <c r="E891" s="66">
        <v>0.0</v>
      </c>
      <c r="F891" s="66" t="s">
        <v>205</v>
      </c>
      <c r="G891" s="66">
        <f t="shared" si="11"/>
        <v>0</v>
      </c>
      <c r="H891" s="66">
        <v>68.3209</v>
      </c>
      <c r="I891" s="66">
        <v>72.4215</v>
      </c>
      <c r="J891" s="66">
        <v>69.6295</v>
      </c>
      <c r="K891" s="81">
        <f t="shared" si="2"/>
        <v>4.1006</v>
      </c>
      <c r="L891" s="81">
        <f t="shared" si="3"/>
        <v>1.3086</v>
      </c>
      <c r="M891" s="66">
        <v>5.0</v>
      </c>
    </row>
    <row r="892">
      <c r="A892" s="82">
        <v>44684.0</v>
      </c>
      <c r="B892" s="82">
        <v>44684.0</v>
      </c>
      <c r="C892" s="66" t="s">
        <v>212</v>
      </c>
      <c r="D892" s="66" t="s">
        <v>198</v>
      </c>
      <c r="E892" s="66">
        <v>0.0</v>
      </c>
      <c r="F892" s="66" t="s">
        <v>205</v>
      </c>
      <c r="G892" s="66">
        <f t="shared" si="11"/>
        <v>0</v>
      </c>
      <c r="H892" s="66">
        <v>68.9014</v>
      </c>
      <c r="I892" s="66">
        <v>72.456</v>
      </c>
      <c r="J892" s="66">
        <v>70.1706</v>
      </c>
      <c r="K892" s="81">
        <f t="shared" si="2"/>
        <v>3.5546</v>
      </c>
      <c r="L892" s="81">
        <f t="shared" si="3"/>
        <v>1.2692</v>
      </c>
    </row>
    <row r="893">
      <c r="A893" s="82">
        <v>44684.0</v>
      </c>
      <c r="B893" s="82">
        <v>44684.0</v>
      </c>
      <c r="C893" s="66" t="s">
        <v>95</v>
      </c>
      <c r="D893" s="66" t="s">
        <v>198</v>
      </c>
      <c r="E893" s="66">
        <v>0.0</v>
      </c>
      <c r="F893" s="66" t="s">
        <v>204</v>
      </c>
      <c r="G893" s="66">
        <f t="shared" si="11"/>
        <v>0</v>
      </c>
      <c r="H893" s="66">
        <v>67.9348</v>
      </c>
      <c r="I893" s="66">
        <v>68.3663</v>
      </c>
      <c r="J893" s="66">
        <v>68.0072</v>
      </c>
      <c r="K893" s="81">
        <f t="shared" si="2"/>
        <v>0.4315</v>
      </c>
      <c r="L893" s="81">
        <f t="shared" si="3"/>
        <v>0.0724</v>
      </c>
    </row>
    <row r="894">
      <c r="A894" s="82">
        <v>44684.0</v>
      </c>
      <c r="B894" s="82">
        <v>44684.0</v>
      </c>
      <c r="C894" s="66" t="s">
        <v>212</v>
      </c>
      <c r="D894" s="66" t="s">
        <v>198</v>
      </c>
      <c r="E894" s="66">
        <v>0.0</v>
      </c>
      <c r="F894" s="66" t="s">
        <v>205</v>
      </c>
      <c r="G894" s="66">
        <f t="shared" si="11"/>
        <v>0</v>
      </c>
      <c r="H894" s="66">
        <v>67.4243</v>
      </c>
      <c r="I894" s="66">
        <v>72.5328</v>
      </c>
      <c r="J894" s="66">
        <v>68.9353</v>
      </c>
      <c r="K894" s="81">
        <f t="shared" si="2"/>
        <v>5.1085</v>
      </c>
      <c r="L894" s="81">
        <f t="shared" si="3"/>
        <v>1.511</v>
      </c>
      <c r="M894" s="66">
        <v>1.0</v>
      </c>
    </row>
    <row r="895">
      <c r="A895" s="82">
        <v>44684.0</v>
      </c>
      <c r="B895" s="82">
        <v>44684.0</v>
      </c>
      <c r="C895" s="66" t="s">
        <v>95</v>
      </c>
      <c r="D895" s="66" t="s">
        <v>198</v>
      </c>
      <c r="E895" s="66">
        <v>0.0</v>
      </c>
      <c r="F895" s="66" t="s">
        <v>204</v>
      </c>
      <c r="G895" s="66">
        <f t="shared" si="11"/>
        <v>0</v>
      </c>
      <c r="H895" s="66">
        <v>67.5368</v>
      </c>
      <c r="I895" s="66">
        <v>68.3052</v>
      </c>
      <c r="J895" s="66">
        <v>67.6847</v>
      </c>
      <c r="K895" s="81">
        <f t="shared" si="2"/>
        <v>0.7684</v>
      </c>
      <c r="L895" s="81">
        <f t="shared" si="3"/>
        <v>0.1479</v>
      </c>
    </row>
    <row r="896">
      <c r="A896" s="82">
        <v>44684.0</v>
      </c>
      <c r="B896" s="82">
        <v>44684.0</v>
      </c>
      <c r="C896" s="66" t="s">
        <v>213</v>
      </c>
      <c r="D896" s="66" t="s">
        <v>198</v>
      </c>
      <c r="E896" s="66">
        <v>0.0</v>
      </c>
      <c r="F896" s="66" t="s">
        <v>205</v>
      </c>
      <c r="G896" s="66">
        <f t="shared" si="11"/>
        <v>0</v>
      </c>
      <c r="H896" s="66">
        <v>68.4789</v>
      </c>
      <c r="I896" s="66">
        <v>76.4651</v>
      </c>
      <c r="J896" s="66">
        <v>69.9919</v>
      </c>
      <c r="K896" s="81">
        <f t="shared" si="2"/>
        <v>7.9862</v>
      </c>
      <c r="L896" s="81">
        <f t="shared" si="3"/>
        <v>1.513</v>
      </c>
    </row>
    <row r="897">
      <c r="A897" s="82">
        <v>44684.0</v>
      </c>
      <c r="B897" s="82">
        <v>44684.0</v>
      </c>
      <c r="C897" s="66" t="s">
        <v>95</v>
      </c>
      <c r="D897" s="66" t="s">
        <v>198</v>
      </c>
      <c r="E897" s="66">
        <v>0.0</v>
      </c>
      <c r="F897" s="66" t="s">
        <v>204</v>
      </c>
      <c r="G897" s="66">
        <f t="shared" si="11"/>
        <v>0</v>
      </c>
      <c r="H897" s="66">
        <v>67.2921</v>
      </c>
      <c r="I897" s="66">
        <v>67.9055</v>
      </c>
      <c r="J897" s="66">
        <v>67.4141</v>
      </c>
      <c r="K897" s="81">
        <f t="shared" si="2"/>
        <v>0.6134</v>
      </c>
      <c r="L897" s="81">
        <f t="shared" si="3"/>
        <v>0.122</v>
      </c>
      <c r="M897" s="66">
        <v>5.0</v>
      </c>
    </row>
    <row r="898">
      <c r="A898" s="82">
        <v>44684.0</v>
      </c>
      <c r="B898" s="82">
        <v>44684.0</v>
      </c>
      <c r="C898" s="66" t="s">
        <v>213</v>
      </c>
      <c r="D898" s="66" t="s">
        <v>198</v>
      </c>
      <c r="E898" s="66">
        <v>0.0</v>
      </c>
      <c r="F898" s="66" t="s">
        <v>205</v>
      </c>
      <c r="G898" s="66">
        <f t="shared" si="11"/>
        <v>0</v>
      </c>
      <c r="H898" s="66">
        <v>67.0153</v>
      </c>
      <c r="I898" s="66">
        <v>72.1798</v>
      </c>
      <c r="J898" s="66">
        <v>68.3649</v>
      </c>
      <c r="K898" s="81">
        <f t="shared" si="2"/>
        <v>5.1645</v>
      </c>
      <c r="L898" s="81">
        <f t="shared" si="3"/>
        <v>1.3496</v>
      </c>
      <c r="M898" s="66">
        <v>4.0</v>
      </c>
    </row>
    <row r="899">
      <c r="A899" s="82">
        <v>44684.0</v>
      </c>
      <c r="B899" s="82">
        <v>44684.0</v>
      </c>
      <c r="C899" s="66" t="s">
        <v>213</v>
      </c>
      <c r="D899" s="66" t="s">
        <v>198</v>
      </c>
      <c r="E899" s="66">
        <v>0.0</v>
      </c>
      <c r="F899" s="66" t="s">
        <v>204</v>
      </c>
      <c r="G899" s="66">
        <f t="shared" si="11"/>
        <v>0</v>
      </c>
      <c r="H899" s="66">
        <v>6.3003</v>
      </c>
      <c r="I899" s="66">
        <v>8.3887</v>
      </c>
      <c r="J899" s="66">
        <v>6.7379</v>
      </c>
      <c r="K899" s="81">
        <f t="shared" si="2"/>
        <v>2.0884</v>
      </c>
      <c r="L899" s="81">
        <f t="shared" si="3"/>
        <v>0.4376</v>
      </c>
      <c r="M899" s="66">
        <v>1.0</v>
      </c>
    </row>
    <row r="900">
      <c r="A900" s="82">
        <v>44684.0</v>
      </c>
      <c r="B900" s="82">
        <v>44684.0</v>
      </c>
      <c r="C900" s="66" t="s">
        <v>213</v>
      </c>
      <c r="D900" s="66" t="s">
        <v>198</v>
      </c>
      <c r="E900" s="66">
        <v>0.0</v>
      </c>
      <c r="F900" s="66" t="s">
        <v>204</v>
      </c>
      <c r="G900" s="66">
        <f t="shared" si="11"/>
        <v>0</v>
      </c>
      <c r="H900" s="66">
        <v>6.2816</v>
      </c>
      <c r="I900" s="66">
        <v>8.8093</v>
      </c>
      <c r="J900" s="66">
        <v>6.8614</v>
      </c>
      <c r="K900" s="81">
        <f t="shared" si="2"/>
        <v>2.5277</v>
      </c>
      <c r="L900" s="81">
        <f t="shared" si="3"/>
        <v>0.5798</v>
      </c>
    </row>
    <row r="901">
      <c r="A901" s="82">
        <v>44684.0</v>
      </c>
      <c r="B901" s="82">
        <v>44684.0</v>
      </c>
      <c r="C901" s="66" t="s">
        <v>95</v>
      </c>
      <c r="D901" s="66" t="s">
        <v>198</v>
      </c>
      <c r="E901" s="66">
        <v>0.0</v>
      </c>
      <c r="F901" s="66" t="s">
        <v>205</v>
      </c>
      <c r="G901" s="66">
        <f t="shared" si="11"/>
        <v>0</v>
      </c>
      <c r="H901" s="66">
        <v>7.3242</v>
      </c>
      <c r="I901" s="66">
        <v>9.7511</v>
      </c>
      <c r="J901" s="66">
        <v>8.3044</v>
      </c>
      <c r="K901" s="81">
        <f t="shared" si="2"/>
        <v>2.4269</v>
      </c>
      <c r="L901" s="81">
        <f t="shared" si="3"/>
        <v>0.9802</v>
      </c>
    </row>
    <row r="902">
      <c r="A902" s="82">
        <v>44684.0</v>
      </c>
      <c r="B902" s="82">
        <v>44684.0</v>
      </c>
      <c r="C902" s="66" t="s">
        <v>95</v>
      </c>
      <c r="D902" s="66" t="s">
        <v>198</v>
      </c>
      <c r="E902" s="66">
        <v>0.0</v>
      </c>
      <c r="F902" s="66" t="s">
        <v>205</v>
      </c>
      <c r="G902" s="66">
        <f t="shared" si="11"/>
        <v>0</v>
      </c>
      <c r="H902" s="66">
        <v>7.3545</v>
      </c>
      <c r="I902" s="66">
        <v>10.0648</v>
      </c>
      <c r="J902" s="66">
        <v>8.3641</v>
      </c>
      <c r="K902" s="81">
        <f t="shared" si="2"/>
        <v>2.7103</v>
      </c>
      <c r="L902" s="81">
        <f t="shared" si="3"/>
        <v>1.0096</v>
      </c>
    </row>
    <row r="903">
      <c r="A903" s="82">
        <v>44684.0</v>
      </c>
      <c r="B903" s="82">
        <v>44684.0</v>
      </c>
      <c r="C903" s="66" t="s">
        <v>95</v>
      </c>
      <c r="D903" s="66" t="s">
        <v>198</v>
      </c>
      <c r="E903" s="66">
        <v>0.0</v>
      </c>
      <c r="F903" s="66" t="s">
        <v>205</v>
      </c>
      <c r="G903" s="66">
        <f t="shared" si="11"/>
        <v>0</v>
      </c>
      <c r="H903" s="66">
        <v>6.2503</v>
      </c>
      <c r="I903" s="66">
        <v>8.2273</v>
      </c>
      <c r="J903" s="66">
        <v>6.9794</v>
      </c>
      <c r="K903" s="81">
        <f t="shared" si="2"/>
        <v>1.977</v>
      </c>
      <c r="L903" s="81">
        <f t="shared" si="3"/>
        <v>0.7291</v>
      </c>
      <c r="M903" s="66">
        <v>4.0</v>
      </c>
    </row>
    <row r="904">
      <c r="A904" s="82">
        <v>44684.0</v>
      </c>
      <c r="B904" s="82">
        <v>44684.0</v>
      </c>
      <c r="C904" s="66" t="s">
        <v>213</v>
      </c>
      <c r="D904" s="66" t="s">
        <v>198</v>
      </c>
      <c r="E904" s="66">
        <v>0.0</v>
      </c>
      <c r="F904" s="66" t="s">
        <v>204</v>
      </c>
      <c r="G904" s="66">
        <f t="shared" si="11"/>
        <v>0</v>
      </c>
      <c r="H904" s="66">
        <v>7.3344</v>
      </c>
      <c r="I904" s="66">
        <v>9.3511</v>
      </c>
      <c r="J904" s="66">
        <v>7.8649</v>
      </c>
      <c r="K904" s="81">
        <f t="shared" si="2"/>
        <v>2.0167</v>
      </c>
      <c r="L904" s="81">
        <f t="shared" si="3"/>
        <v>0.5305</v>
      </c>
    </row>
    <row r="905">
      <c r="A905" s="82">
        <v>44684.0</v>
      </c>
      <c r="B905" s="82">
        <v>44684.0</v>
      </c>
      <c r="C905" s="66" t="s">
        <v>212</v>
      </c>
      <c r="D905" s="66" t="s">
        <v>198</v>
      </c>
      <c r="E905" s="66">
        <v>0.0</v>
      </c>
      <c r="F905" s="66" t="s">
        <v>204</v>
      </c>
      <c r="G905" s="66">
        <f t="shared" si="11"/>
        <v>0</v>
      </c>
      <c r="H905" s="66">
        <v>7.4014</v>
      </c>
      <c r="I905" s="66">
        <v>8.3818</v>
      </c>
      <c r="J905" s="66">
        <v>7.7325</v>
      </c>
      <c r="K905" s="81">
        <f t="shared" si="2"/>
        <v>0.9804</v>
      </c>
      <c r="L905" s="81">
        <f t="shared" si="3"/>
        <v>0.3311</v>
      </c>
    </row>
    <row r="906">
      <c r="A906" s="82">
        <v>44684.0</v>
      </c>
      <c r="B906" s="82">
        <v>44684.0</v>
      </c>
      <c r="C906" s="66" t="s">
        <v>212</v>
      </c>
      <c r="D906" s="66" t="s">
        <v>198</v>
      </c>
      <c r="E906" s="66">
        <v>0.0</v>
      </c>
      <c r="F906" s="66" t="s">
        <v>204</v>
      </c>
      <c r="G906" s="66">
        <f t="shared" si="11"/>
        <v>0</v>
      </c>
      <c r="H906" s="66">
        <v>6.2866</v>
      </c>
      <c r="I906" s="66">
        <v>7.1931</v>
      </c>
      <c r="J906" s="66">
        <v>6.5668</v>
      </c>
      <c r="K906" s="81">
        <f t="shared" si="2"/>
        <v>0.9065</v>
      </c>
      <c r="L906" s="81">
        <f t="shared" si="3"/>
        <v>0.2802</v>
      </c>
      <c r="M906" s="66">
        <v>3.0</v>
      </c>
    </row>
    <row r="907">
      <c r="A907" s="82">
        <v>44684.0</v>
      </c>
      <c r="B907" s="82">
        <v>44684.0</v>
      </c>
      <c r="C907" s="66" t="s">
        <v>212</v>
      </c>
      <c r="D907" s="66" t="s">
        <v>198</v>
      </c>
      <c r="E907" s="66">
        <v>0.0</v>
      </c>
      <c r="F907" s="66" t="s">
        <v>204</v>
      </c>
      <c r="G907" s="66">
        <f t="shared" si="11"/>
        <v>0</v>
      </c>
      <c r="H907" s="66">
        <v>6.3187</v>
      </c>
      <c r="I907" s="66">
        <v>7.3109</v>
      </c>
      <c r="J907" s="66">
        <v>6.6313</v>
      </c>
      <c r="K907" s="81">
        <f t="shared" si="2"/>
        <v>0.9922</v>
      </c>
      <c r="L907" s="81">
        <f t="shared" si="3"/>
        <v>0.3126</v>
      </c>
      <c r="M907" s="66">
        <v>5.0</v>
      </c>
    </row>
    <row r="908">
      <c r="A908" s="82">
        <v>44684.0</v>
      </c>
      <c r="B908" s="82">
        <v>44684.0</v>
      </c>
      <c r="C908" s="66" t="s">
        <v>213</v>
      </c>
      <c r="D908" s="66" t="s">
        <v>198</v>
      </c>
      <c r="E908" s="66">
        <v>0.0</v>
      </c>
      <c r="F908" s="66" t="s">
        <v>204</v>
      </c>
      <c r="G908" s="66">
        <f t="shared" si="11"/>
        <v>0</v>
      </c>
      <c r="H908" s="66">
        <v>7.3307</v>
      </c>
      <c r="I908" s="66">
        <v>9.2635</v>
      </c>
      <c r="J908" s="66">
        <v>7.6795</v>
      </c>
      <c r="K908" s="81">
        <f t="shared" si="2"/>
        <v>1.9328</v>
      </c>
      <c r="L908" s="81">
        <f t="shared" si="3"/>
        <v>0.3488</v>
      </c>
    </row>
    <row r="909">
      <c r="A909" s="82">
        <v>44684.0</v>
      </c>
      <c r="B909" s="82">
        <v>44684.0</v>
      </c>
      <c r="C909" s="66" t="s">
        <v>95</v>
      </c>
      <c r="D909" s="66" t="s">
        <v>198</v>
      </c>
      <c r="E909" s="66">
        <v>0.0</v>
      </c>
      <c r="F909" s="66" t="s">
        <v>205</v>
      </c>
      <c r="G909" s="66">
        <f t="shared" si="11"/>
        <v>0</v>
      </c>
      <c r="H909" s="66">
        <v>7.3264</v>
      </c>
      <c r="I909" s="66">
        <v>11.4276</v>
      </c>
      <c r="J909" s="66">
        <v>8.6403</v>
      </c>
      <c r="K909" s="81">
        <f t="shared" si="2"/>
        <v>4.1012</v>
      </c>
      <c r="L909" s="81">
        <f t="shared" si="3"/>
        <v>1.3139</v>
      </c>
      <c r="M909" s="66">
        <v>3.0</v>
      </c>
    </row>
    <row r="910">
      <c r="A910" s="82">
        <v>44691.0</v>
      </c>
      <c r="B910" s="82">
        <v>44691.0</v>
      </c>
      <c r="C910" s="66" t="s">
        <v>213</v>
      </c>
      <c r="D910" s="66" t="s">
        <v>198</v>
      </c>
      <c r="E910" s="66">
        <v>0.0</v>
      </c>
      <c r="F910" s="66" t="s">
        <v>205</v>
      </c>
      <c r="G910" s="66">
        <f t="shared" si="11"/>
        <v>0</v>
      </c>
      <c r="H910" s="66">
        <v>68.4094</v>
      </c>
      <c r="I910" s="66">
        <v>75.1416</v>
      </c>
      <c r="J910" s="66">
        <v>70.4939</v>
      </c>
      <c r="K910" s="81">
        <f t="shared" si="2"/>
        <v>6.7322</v>
      </c>
      <c r="L910" s="81">
        <f t="shared" si="3"/>
        <v>2.0845</v>
      </c>
    </row>
    <row r="911">
      <c r="A911" s="82">
        <v>44691.0</v>
      </c>
      <c r="B911" s="82">
        <v>44691.0</v>
      </c>
      <c r="C911" s="66" t="s">
        <v>95</v>
      </c>
      <c r="D911" s="66" t="s">
        <v>198</v>
      </c>
      <c r="E911" s="66">
        <v>0.0</v>
      </c>
      <c r="F911" s="66" t="s">
        <v>205</v>
      </c>
      <c r="G911" s="66">
        <f t="shared" si="11"/>
        <v>0</v>
      </c>
      <c r="H911" s="66">
        <v>68.2055</v>
      </c>
      <c r="I911" s="66">
        <v>71.4974</v>
      </c>
      <c r="J911" s="66">
        <v>69.4607</v>
      </c>
      <c r="K911" s="81">
        <f t="shared" si="2"/>
        <v>3.2919</v>
      </c>
      <c r="L911" s="81">
        <f t="shared" si="3"/>
        <v>1.2552</v>
      </c>
    </row>
    <row r="912">
      <c r="A912" s="82">
        <v>44691.0</v>
      </c>
      <c r="B912" s="82">
        <v>44691.0</v>
      </c>
      <c r="C912" s="66" t="s">
        <v>212</v>
      </c>
      <c r="D912" s="66" t="s">
        <v>198</v>
      </c>
      <c r="E912" s="66">
        <v>0.0</v>
      </c>
      <c r="F912" s="66" t="s">
        <v>205</v>
      </c>
      <c r="G912" s="66">
        <f t="shared" si="11"/>
        <v>0</v>
      </c>
      <c r="H912" s="66">
        <v>67.4298</v>
      </c>
      <c r="I912" s="66">
        <v>72.0028</v>
      </c>
      <c r="J912" s="66">
        <v>68.9878</v>
      </c>
      <c r="K912" s="81">
        <f t="shared" si="2"/>
        <v>4.573</v>
      </c>
      <c r="L912" s="81">
        <f t="shared" si="3"/>
        <v>1.558</v>
      </c>
    </row>
    <row r="913">
      <c r="A913" s="82">
        <v>44691.0</v>
      </c>
      <c r="B913" s="82">
        <v>44691.0</v>
      </c>
      <c r="C913" s="66" t="s">
        <v>95</v>
      </c>
      <c r="D913" s="66" t="s">
        <v>198</v>
      </c>
      <c r="E913" s="66">
        <v>0.0</v>
      </c>
      <c r="F913" s="66" t="s">
        <v>205</v>
      </c>
      <c r="G913" s="66">
        <f t="shared" si="11"/>
        <v>0</v>
      </c>
      <c r="H913" s="66">
        <v>67.5418</v>
      </c>
      <c r="I913" s="66">
        <v>69.9484</v>
      </c>
      <c r="J913" s="66">
        <v>68.5955</v>
      </c>
      <c r="K913" s="81">
        <f t="shared" si="2"/>
        <v>2.4066</v>
      </c>
      <c r="L913" s="81">
        <f t="shared" si="3"/>
        <v>1.0537</v>
      </c>
    </row>
    <row r="914">
      <c r="A914" s="82">
        <v>44691.0</v>
      </c>
      <c r="B914" s="82">
        <v>44691.0</v>
      </c>
      <c r="C914" s="66" t="s">
        <v>212</v>
      </c>
      <c r="D914" s="66" t="s">
        <v>198</v>
      </c>
      <c r="E914" s="66">
        <v>0.0</v>
      </c>
      <c r="F914" s="66" t="s">
        <v>205</v>
      </c>
      <c r="G914" s="66">
        <f t="shared" si="11"/>
        <v>0</v>
      </c>
      <c r="H914" s="66">
        <v>67.8997</v>
      </c>
      <c r="I914" s="66">
        <v>73.0225</v>
      </c>
      <c r="J914" s="66">
        <v>69.5548</v>
      </c>
      <c r="K914" s="81">
        <f t="shared" si="2"/>
        <v>5.1228</v>
      </c>
      <c r="L914" s="81">
        <f t="shared" si="3"/>
        <v>1.6551</v>
      </c>
    </row>
    <row r="915">
      <c r="A915" s="82">
        <v>44691.0</v>
      </c>
      <c r="B915" s="82">
        <v>44691.0</v>
      </c>
      <c r="C915" s="66" t="s">
        <v>213</v>
      </c>
      <c r="D915" s="66" t="s">
        <v>198</v>
      </c>
      <c r="E915" s="66">
        <v>0.0</v>
      </c>
      <c r="F915" s="66" t="s">
        <v>205</v>
      </c>
      <c r="G915" s="66">
        <f t="shared" si="11"/>
        <v>0</v>
      </c>
      <c r="H915" s="66">
        <v>68.627</v>
      </c>
      <c r="I915" s="66">
        <v>77.996</v>
      </c>
      <c r="J915" s="66">
        <v>70.8016</v>
      </c>
      <c r="K915" s="81">
        <f t="shared" si="2"/>
        <v>9.369</v>
      </c>
      <c r="L915" s="81">
        <f t="shared" si="3"/>
        <v>2.1746</v>
      </c>
    </row>
    <row r="916">
      <c r="A916" s="82">
        <v>44691.0</v>
      </c>
      <c r="B916" s="82">
        <v>44691.0</v>
      </c>
      <c r="C916" s="66" t="s">
        <v>95</v>
      </c>
      <c r="D916" s="66" t="s">
        <v>198</v>
      </c>
      <c r="E916" s="66">
        <v>0.0</v>
      </c>
      <c r="F916" s="66" t="s">
        <v>205</v>
      </c>
      <c r="G916" s="66">
        <f t="shared" si="11"/>
        <v>0</v>
      </c>
      <c r="H916" s="66">
        <v>67.7985</v>
      </c>
      <c r="I916" s="66">
        <v>71.2748</v>
      </c>
      <c r="J916" s="66">
        <v>68.9772</v>
      </c>
      <c r="K916" s="81">
        <f t="shared" si="2"/>
        <v>3.4763</v>
      </c>
      <c r="L916" s="81">
        <f t="shared" si="3"/>
        <v>1.1787</v>
      </c>
    </row>
    <row r="917">
      <c r="A917" s="82">
        <v>44691.0</v>
      </c>
      <c r="B917" s="82">
        <v>44691.0</v>
      </c>
      <c r="C917" s="66" t="s">
        <v>213</v>
      </c>
      <c r="D917" s="66" t="s">
        <v>198</v>
      </c>
      <c r="E917" s="66">
        <v>0.0</v>
      </c>
      <c r="F917" s="66" t="s">
        <v>205</v>
      </c>
      <c r="G917" s="66">
        <f t="shared" si="11"/>
        <v>0</v>
      </c>
      <c r="H917" s="66">
        <v>67.4531</v>
      </c>
      <c r="I917" s="66">
        <v>72.1441</v>
      </c>
      <c r="J917" s="66">
        <v>68.8466</v>
      </c>
      <c r="K917" s="81">
        <f t="shared" si="2"/>
        <v>4.691</v>
      </c>
      <c r="L917" s="81">
        <f t="shared" si="3"/>
        <v>1.3935</v>
      </c>
    </row>
    <row r="918">
      <c r="A918" s="82">
        <v>44691.0</v>
      </c>
      <c r="B918" s="82">
        <v>44691.0</v>
      </c>
      <c r="C918" s="66" t="s">
        <v>213</v>
      </c>
      <c r="D918" s="66" t="s">
        <v>198</v>
      </c>
      <c r="E918" s="66">
        <v>0.0</v>
      </c>
      <c r="F918" s="66" t="s">
        <v>205</v>
      </c>
      <c r="G918" s="66">
        <f t="shared" si="11"/>
        <v>0</v>
      </c>
      <c r="H918" s="66">
        <v>67.2637</v>
      </c>
      <c r="I918" s="66">
        <v>76.7317</v>
      </c>
      <c r="J918" s="66">
        <v>69.8225</v>
      </c>
      <c r="K918" s="81">
        <f t="shared" si="2"/>
        <v>9.468</v>
      </c>
      <c r="L918" s="81">
        <f t="shared" si="3"/>
        <v>2.5588</v>
      </c>
    </row>
    <row r="919">
      <c r="A919" s="82">
        <v>44691.0</v>
      </c>
      <c r="B919" s="82">
        <v>44691.0</v>
      </c>
      <c r="C919" s="66" t="s">
        <v>213</v>
      </c>
      <c r="D919" s="66" t="s">
        <v>198</v>
      </c>
      <c r="E919" s="66">
        <v>0.0</v>
      </c>
      <c r="F919" s="66" t="s">
        <v>204</v>
      </c>
      <c r="G919" s="66">
        <f t="shared" si="11"/>
        <v>0</v>
      </c>
      <c r="H919" s="66">
        <v>6.3427</v>
      </c>
      <c r="I919" s="66">
        <v>8.2429</v>
      </c>
      <c r="J919" s="66">
        <v>6.8491</v>
      </c>
      <c r="K919" s="81">
        <f t="shared" si="2"/>
        <v>1.9002</v>
      </c>
      <c r="L919" s="81">
        <f t="shared" si="3"/>
        <v>0.5064</v>
      </c>
    </row>
    <row r="920">
      <c r="A920" s="82">
        <v>44691.0</v>
      </c>
      <c r="B920" s="82">
        <v>44691.0</v>
      </c>
      <c r="C920" s="66" t="s">
        <v>95</v>
      </c>
      <c r="D920" s="66" t="s">
        <v>198</v>
      </c>
      <c r="E920" s="66">
        <v>0.0</v>
      </c>
      <c r="F920" s="66" t="s">
        <v>204</v>
      </c>
      <c r="G920" s="66">
        <f t="shared" si="11"/>
        <v>0</v>
      </c>
      <c r="H920" s="66">
        <v>6.3273</v>
      </c>
      <c r="I920" s="66">
        <v>7.5937</v>
      </c>
      <c r="J920" s="66">
        <v>6.7552</v>
      </c>
      <c r="K920" s="81">
        <f t="shared" si="2"/>
        <v>1.2664</v>
      </c>
      <c r="L920" s="81">
        <f t="shared" si="3"/>
        <v>0.4279</v>
      </c>
    </row>
    <row r="921">
      <c r="A921" s="82">
        <v>44691.0</v>
      </c>
      <c r="B921" s="82">
        <v>44691.0</v>
      </c>
      <c r="C921" s="66" t="s">
        <v>212</v>
      </c>
      <c r="D921" s="66" t="s">
        <v>198</v>
      </c>
      <c r="E921" s="66">
        <v>0.0</v>
      </c>
      <c r="F921" s="66" t="s">
        <v>205</v>
      </c>
      <c r="G921" s="66">
        <f t="shared" si="11"/>
        <v>0</v>
      </c>
      <c r="H921" s="66">
        <v>67.0797</v>
      </c>
      <c r="I921" s="66">
        <v>70.9634</v>
      </c>
      <c r="J921" s="66">
        <v>68.4</v>
      </c>
      <c r="K921" s="81">
        <f t="shared" si="2"/>
        <v>3.8837</v>
      </c>
      <c r="L921" s="81">
        <f t="shared" si="3"/>
        <v>1.3203</v>
      </c>
    </row>
    <row r="922">
      <c r="A922" s="82">
        <v>44691.0</v>
      </c>
      <c r="B922" s="82">
        <v>44691.0</v>
      </c>
      <c r="C922" s="66" t="s">
        <v>95</v>
      </c>
      <c r="D922" s="66" t="s">
        <v>198</v>
      </c>
      <c r="E922" s="66">
        <v>0.0</v>
      </c>
      <c r="F922" s="66" t="s">
        <v>205</v>
      </c>
      <c r="G922" s="66">
        <f t="shared" si="11"/>
        <v>0</v>
      </c>
      <c r="H922" s="66">
        <v>68.2843</v>
      </c>
      <c r="I922" s="66">
        <v>70.5236</v>
      </c>
      <c r="J922" s="66">
        <v>69.1931</v>
      </c>
      <c r="K922" s="81">
        <f t="shared" si="2"/>
        <v>2.2393</v>
      </c>
      <c r="L922" s="81">
        <f t="shared" si="3"/>
        <v>0.9088</v>
      </c>
    </row>
    <row r="923">
      <c r="A923" s="82">
        <v>44691.0</v>
      </c>
      <c r="B923" s="82">
        <v>44691.0</v>
      </c>
      <c r="C923" s="66" t="s">
        <v>212</v>
      </c>
      <c r="D923" s="66" t="s">
        <v>198</v>
      </c>
      <c r="E923" s="66">
        <v>0.0</v>
      </c>
      <c r="F923" s="66" t="s">
        <v>204</v>
      </c>
      <c r="G923" s="66">
        <f t="shared" si="11"/>
        <v>0</v>
      </c>
      <c r="H923" s="66">
        <v>7.3042</v>
      </c>
      <c r="I923" s="66">
        <v>8.5962</v>
      </c>
      <c r="J923" s="66">
        <v>7.7163</v>
      </c>
      <c r="K923" s="81">
        <f t="shared" si="2"/>
        <v>1.292</v>
      </c>
      <c r="L923" s="81">
        <f t="shared" si="3"/>
        <v>0.4121</v>
      </c>
    </row>
    <row r="924">
      <c r="A924" s="82">
        <v>44691.0</v>
      </c>
      <c r="B924" s="82">
        <v>44691.0</v>
      </c>
      <c r="C924" s="66" t="s">
        <v>213</v>
      </c>
      <c r="D924" s="66" t="s">
        <v>198</v>
      </c>
      <c r="E924" s="66">
        <v>0.0</v>
      </c>
      <c r="F924" s="66" t="s">
        <v>204</v>
      </c>
      <c r="G924" s="66">
        <f t="shared" si="11"/>
        <v>0</v>
      </c>
      <c r="H924" s="66">
        <v>7.3369</v>
      </c>
      <c r="I924" s="66">
        <v>8.0293</v>
      </c>
      <c r="J924" s="66">
        <v>7.6263</v>
      </c>
      <c r="K924" s="81">
        <f t="shared" si="2"/>
        <v>0.6924</v>
      </c>
      <c r="L924" s="81">
        <f t="shared" si="3"/>
        <v>0.2894</v>
      </c>
    </row>
    <row r="925">
      <c r="A925" s="82">
        <v>44691.0</v>
      </c>
      <c r="B925" s="82">
        <v>44691.0</v>
      </c>
      <c r="C925" s="66" t="s">
        <v>212</v>
      </c>
      <c r="D925" s="66" t="s">
        <v>198</v>
      </c>
      <c r="E925" s="66">
        <v>0.0</v>
      </c>
      <c r="F925" s="66" t="s">
        <v>204</v>
      </c>
      <c r="G925" s="66">
        <f t="shared" si="11"/>
        <v>0</v>
      </c>
      <c r="H925" s="66">
        <v>7.3952</v>
      </c>
      <c r="I925" s="66">
        <v>8.362</v>
      </c>
      <c r="J925" s="66">
        <v>7.7292</v>
      </c>
      <c r="K925" s="81">
        <f t="shared" si="2"/>
        <v>0.9668</v>
      </c>
      <c r="L925" s="81">
        <f t="shared" si="3"/>
        <v>0.334</v>
      </c>
    </row>
    <row r="926">
      <c r="A926" s="82">
        <v>44691.0</v>
      </c>
      <c r="B926" s="82">
        <v>44691.0</v>
      </c>
      <c r="C926" s="66" t="s">
        <v>213</v>
      </c>
      <c r="D926" s="66" t="s">
        <v>198</v>
      </c>
      <c r="E926" s="66">
        <v>0.0</v>
      </c>
      <c r="F926" s="66" t="s">
        <v>204</v>
      </c>
      <c r="G926" s="66">
        <f t="shared" si="11"/>
        <v>0</v>
      </c>
      <c r="H926" s="66">
        <v>7.4598</v>
      </c>
      <c r="I926" s="66">
        <v>9.7255</v>
      </c>
      <c r="J926" s="66">
        <v>7.9861</v>
      </c>
      <c r="K926" s="81">
        <f t="shared" si="2"/>
        <v>2.2657</v>
      </c>
      <c r="L926" s="81">
        <f t="shared" si="3"/>
        <v>0.5263</v>
      </c>
    </row>
    <row r="927">
      <c r="A927" s="82">
        <v>44691.0</v>
      </c>
      <c r="B927" s="82">
        <v>44691.0</v>
      </c>
      <c r="C927" s="66" t="s">
        <v>213</v>
      </c>
      <c r="D927" s="66" t="s">
        <v>198</v>
      </c>
      <c r="E927" s="66">
        <v>0.0</v>
      </c>
      <c r="F927" s="66" t="s">
        <v>204</v>
      </c>
      <c r="G927" s="66">
        <f t="shared" si="11"/>
        <v>0</v>
      </c>
      <c r="H927" s="66">
        <v>7.2275</v>
      </c>
      <c r="I927" s="66">
        <v>9.3428</v>
      </c>
      <c r="J927" s="66">
        <v>7.9657</v>
      </c>
      <c r="K927" s="81">
        <f t="shared" si="2"/>
        <v>2.1153</v>
      </c>
      <c r="L927" s="81">
        <f t="shared" si="3"/>
        <v>0.7382</v>
      </c>
    </row>
    <row r="928">
      <c r="A928" s="82">
        <v>44691.0</v>
      </c>
      <c r="B928" s="82">
        <v>44691.0</v>
      </c>
      <c r="C928" s="66" t="s">
        <v>213</v>
      </c>
      <c r="D928" s="66" t="s">
        <v>198</v>
      </c>
      <c r="E928" s="66">
        <v>0.0</v>
      </c>
      <c r="F928" s="66" t="s">
        <v>204</v>
      </c>
      <c r="G928" s="66">
        <f t="shared" si="11"/>
        <v>0</v>
      </c>
      <c r="H928" s="66">
        <v>7.3571</v>
      </c>
      <c r="I928" s="66">
        <v>9.7397</v>
      </c>
      <c r="J928" s="66">
        <v>7.9024</v>
      </c>
      <c r="K928" s="81">
        <f t="shared" si="2"/>
        <v>2.3826</v>
      </c>
      <c r="L928" s="81">
        <f t="shared" si="3"/>
        <v>0.5453</v>
      </c>
    </row>
    <row r="929">
      <c r="A929" s="82">
        <v>44691.0</v>
      </c>
      <c r="B929" s="82">
        <v>44691.0</v>
      </c>
      <c r="C929" s="66" t="s">
        <v>95</v>
      </c>
      <c r="D929" s="66" t="s">
        <v>198</v>
      </c>
      <c r="E929" s="66">
        <v>0.0</v>
      </c>
      <c r="F929" s="66" t="s">
        <v>204</v>
      </c>
      <c r="G929" s="66">
        <f t="shared" si="11"/>
        <v>0</v>
      </c>
      <c r="H929" s="66">
        <v>7.4168</v>
      </c>
      <c r="I929" s="66">
        <v>8.1982</v>
      </c>
      <c r="J929" s="66">
        <v>7.7764</v>
      </c>
      <c r="K929" s="81">
        <f t="shared" si="2"/>
        <v>0.7814</v>
      </c>
      <c r="L929" s="81">
        <f t="shared" si="3"/>
        <v>0.3596</v>
      </c>
    </row>
    <row r="930">
      <c r="A930" s="82">
        <v>44691.0</v>
      </c>
      <c r="B930" s="82">
        <v>44691.0</v>
      </c>
      <c r="C930" s="66" t="s">
        <v>212</v>
      </c>
      <c r="D930" s="66" t="s">
        <v>198</v>
      </c>
      <c r="E930" s="66">
        <v>0.0</v>
      </c>
      <c r="F930" s="66" t="s">
        <v>204</v>
      </c>
      <c r="G930" s="66">
        <f t="shared" si="11"/>
        <v>0</v>
      </c>
      <c r="H930" s="66">
        <v>6.2569</v>
      </c>
      <c r="I930" s="66">
        <v>7.3012</v>
      </c>
      <c r="J930" s="66">
        <v>6.3787</v>
      </c>
      <c r="K930" s="81">
        <f t="shared" si="2"/>
        <v>1.0443</v>
      </c>
      <c r="L930" s="81">
        <f t="shared" si="3"/>
        <v>0.1218</v>
      </c>
    </row>
    <row r="931">
      <c r="A931" s="82">
        <v>44691.0</v>
      </c>
      <c r="B931" s="82">
        <v>44691.0</v>
      </c>
      <c r="C931" s="66" t="s">
        <v>95</v>
      </c>
      <c r="D931" s="66" t="s">
        <v>198</v>
      </c>
      <c r="E931" s="66">
        <v>0.0</v>
      </c>
      <c r="F931" s="66" t="s">
        <v>204</v>
      </c>
      <c r="G931" s="66">
        <f t="shared" si="11"/>
        <v>0</v>
      </c>
      <c r="H931" s="66">
        <v>7.3808</v>
      </c>
      <c r="I931" s="66">
        <v>8.1916</v>
      </c>
      <c r="J931" s="66">
        <v>7.7032</v>
      </c>
      <c r="K931" s="81">
        <f t="shared" si="2"/>
        <v>0.8108</v>
      </c>
      <c r="L931" s="81">
        <f t="shared" si="3"/>
        <v>0.3224</v>
      </c>
    </row>
    <row r="932">
      <c r="A932" s="82">
        <v>44698.0</v>
      </c>
      <c r="B932" s="82">
        <v>44698.0</v>
      </c>
      <c r="C932" s="66" t="s">
        <v>213</v>
      </c>
      <c r="D932" s="66" t="s">
        <v>198</v>
      </c>
      <c r="E932" s="66">
        <v>0.0</v>
      </c>
      <c r="F932" s="66" t="s">
        <v>205</v>
      </c>
      <c r="G932" s="66">
        <f t="shared" si="11"/>
        <v>0</v>
      </c>
      <c r="H932" s="66">
        <v>68.1046</v>
      </c>
      <c r="I932" s="66">
        <v>75.4955</v>
      </c>
      <c r="J932" s="66">
        <v>70.0484</v>
      </c>
      <c r="K932" s="81">
        <f t="shared" si="2"/>
        <v>7.3909</v>
      </c>
      <c r="L932" s="81">
        <f t="shared" si="3"/>
        <v>1.9438</v>
      </c>
      <c r="N932" s="66" t="s">
        <v>210</v>
      </c>
    </row>
    <row r="933">
      <c r="A933" s="82">
        <v>44698.0</v>
      </c>
      <c r="B933" s="82">
        <v>44698.0</v>
      </c>
      <c r="C933" s="66" t="s">
        <v>212</v>
      </c>
      <c r="D933" s="66" t="s">
        <v>198</v>
      </c>
      <c r="E933" s="66">
        <v>0.0</v>
      </c>
      <c r="F933" s="66" t="s">
        <v>205</v>
      </c>
      <c r="G933" s="66">
        <f t="shared" si="11"/>
        <v>0</v>
      </c>
      <c r="H933" s="66">
        <v>67.4183</v>
      </c>
      <c r="I933" s="66">
        <v>71.0377</v>
      </c>
      <c r="J933" s="66">
        <v>68.9334</v>
      </c>
      <c r="K933" s="81">
        <f t="shared" si="2"/>
        <v>3.6194</v>
      </c>
      <c r="L933" s="81">
        <f t="shared" si="3"/>
        <v>1.5151</v>
      </c>
    </row>
    <row r="934">
      <c r="A934" s="82">
        <v>44698.0</v>
      </c>
      <c r="B934" s="82">
        <v>44698.0</v>
      </c>
      <c r="C934" s="66" t="s">
        <v>212</v>
      </c>
      <c r="D934" s="66" t="s">
        <v>198</v>
      </c>
      <c r="E934" s="66">
        <v>0.0</v>
      </c>
      <c r="F934" s="66" t="s">
        <v>204</v>
      </c>
      <c r="G934" s="66">
        <f t="shared" si="11"/>
        <v>0</v>
      </c>
      <c r="H934" s="66">
        <v>67.6206</v>
      </c>
      <c r="I934" s="66">
        <v>72.569</v>
      </c>
      <c r="J934" s="66">
        <v>69.241</v>
      </c>
      <c r="K934" s="81">
        <f t="shared" si="2"/>
        <v>4.9484</v>
      </c>
      <c r="L934" s="81">
        <f t="shared" si="3"/>
        <v>1.6204</v>
      </c>
      <c r="N934" s="66" t="s">
        <v>210</v>
      </c>
    </row>
    <row r="935">
      <c r="A935" s="82">
        <v>44698.0</v>
      </c>
      <c r="B935" s="82">
        <v>44698.0</v>
      </c>
      <c r="C935" s="66" t="s">
        <v>95</v>
      </c>
      <c r="D935" s="66" t="s">
        <v>198</v>
      </c>
      <c r="E935" s="66">
        <v>0.0</v>
      </c>
      <c r="F935" s="66" t="s">
        <v>205</v>
      </c>
      <c r="G935" s="66">
        <f t="shared" si="11"/>
        <v>0</v>
      </c>
      <c r="H935" s="66">
        <v>26.3299</v>
      </c>
      <c r="I935" s="66">
        <v>28.6309</v>
      </c>
      <c r="J935" s="66">
        <v>27.1228</v>
      </c>
      <c r="K935" s="81">
        <f t="shared" si="2"/>
        <v>2.301</v>
      </c>
      <c r="L935" s="81">
        <f t="shared" si="3"/>
        <v>0.7929</v>
      </c>
    </row>
    <row r="936">
      <c r="A936" s="82">
        <v>44698.0</v>
      </c>
      <c r="B936" s="82">
        <v>44698.0</v>
      </c>
      <c r="C936" s="66" t="s">
        <v>212</v>
      </c>
      <c r="D936" s="66" t="s">
        <v>198</v>
      </c>
      <c r="E936" s="66">
        <v>0.0</v>
      </c>
      <c r="F936" s="66" t="s">
        <v>204</v>
      </c>
      <c r="G936" s="66">
        <f t="shared" si="11"/>
        <v>0</v>
      </c>
      <c r="H936" s="66">
        <v>6.3381</v>
      </c>
      <c r="I936" s="66">
        <v>7.2199</v>
      </c>
      <c r="J936" s="66">
        <v>6.6823</v>
      </c>
      <c r="K936" s="81">
        <f t="shared" si="2"/>
        <v>0.8818</v>
      </c>
      <c r="L936" s="81">
        <f t="shared" si="3"/>
        <v>0.3442</v>
      </c>
    </row>
    <row r="937">
      <c r="A937" s="82">
        <v>44698.0</v>
      </c>
      <c r="B937" s="82">
        <v>44698.0</v>
      </c>
      <c r="C937" s="66" t="s">
        <v>95</v>
      </c>
      <c r="D937" s="66" t="s">
        <v>198</v>
      </c>
      <c r="E937" s="66">
        <v>0.0</v>
      </c>
      <c r="F937" s="66" t="s">
        <v>204</v>
      </c>
      <c r="G937" s="66">
        <f t="shared" si="11"/>
        <v>0</v>
      </c>
      <c r="H937" s="66">
        <v>6.326</v>
      </c>
      <c r="I937" s="66">
        <v>6.9502</v>
      </c>
      <c r="J937" s="66">
        <v>6.6029</v>
      </c>
      <c r="K937" s="81">
        <f t="shared" si="2"/>
        <v>0.6242</v>
      </c>
      <c r="L937" s="81">
        <f t="shared" si="3"/>
        <v>0.2769</v>
      </c>
    </row>
    <row r="938">
      <c r="A938" s="82">
        <v>44698.0</v>
      </c>
      <c r="B938" s="82">
        <v>44698.0</v>
      </c>
      <c r="C938" s="66" t="s">
        <v>95</v>
      </c>
      <c r="D938" s="66" t="s">
        <v>198</v>
      </c>
      <c r="E938" s="66">
        <v>0.0</v>
      </c>
      <c r="F938" s="66" t="s">
        <v>204</v>
      </c>
      <c r="G938" s="66">
        <f t="shared" si="11"/>
        <v>0</v>
      </c>
      <c r="H938" s="66">
        <v>7.5135</v>
      </c>
      <c r="I938" s="66">
        <v>8.2773</v>
      </c>
      <c r="J938" s="66">
        <v>7.8861</v>
      </c>
      <c r="K938" s="81">
        <f t="shared" si="2"/>
        <v>0.7638</v>
      </c>
      <c r="L938" s="81">
        <f t="shared" si="3"/>
        <v>0.3726</v>
      </c>
    </row>
    <row r="939">
      <c r="A939" s="82">
        <v>44698.0</v>
      </c>
      <c r="B939" s="82">
        <v>44698.0</v>
      </c>
      <c r="C939" s="66" t="s">
        <v>95</v>
      </c>
      <c r="D939" s="66" t="s">
        <v>198</v>
      </c>
      <c r="E939" s="66">
        <v>0.0</v>
      </c>
      <c r="F939" s="66" t="s">
        <v>205</v>
      </c>
      <c r="G939" s="66">
        <f t="shared" si="11"/>
        <v>0</v>
      </c>
      <c r="H939" s="66">
        <v>67.1685</v>
      </c>
      <c r="I939" s="66">
        <v>70.5544</v>
      </c>
      <c r="J939" s="66">
        <v>68.3951</v>
      </c>
      <c r="K939" s="81">
        <f t="shared" si="2"/>
        <v>3.3859</v>
      </c>
      <c r="L939" s="81">
        <f t="shared" si="3"/>
        <v>1.2266</v>
      </c>
    </row>
    <row r="940">
      <c r="A940" s="82">
        <v>44698.0</v>
      </c>
      <c r="B940" s="82">
        <v>44698.0</v>
      </c>
      <c r="C940" s="66" t="s">
        <v>213</v>
      </c>
      <c r="D940" s="66" t="s">
        <v>198</v>
      </c>
      <c r="E940" s="66">
        <v>0.0</v>
      </c>
      <c r="F940" s="66" t="s">
        <v>204</v>
      </c>
      <c r="G940" s="66">
        <f t="shared" si="11"/>
        <v>0</v>
      </c>
      <c r="H940" s="66">
        <v>7.3938</v>
      </c>
      <c r="I940" s="66">
        <v>9.6353</v>
      </c>
      <c r="J940" s="66">
        <v>7.9917</v>
      </c>
      <c r="K940" s="81">
        <f t="shared" si="2"/>
        <v>2.2415</v>
      </c>
      <c r="L940" s="81">
        <f t="shared" si="3"/>
        <v>0.5979</v>
      </c>
    </row>
    <row r="941">
      <c r="A941" s="82">
        <v>44698.0</v>
      </c>
      <c r="B941" s="82">
        <v>44698.0</v>
      </c>
      <c r="C941" s="66" t="s">
        <v>95</v>
      </c>
      <c r="D941" s="66" t="s">
        <v>198</v>
      </c>
      <c r="E941" s="66">
        <v>0.0</v>
      </c>
      <c r="F941" s="66" t="s">
        <v>204</v>
      </c>
      <c r="G941" s="66">
        <f t="shared" si="11"/>
        <v>0</v>
      </c>
      <c r="H941" s="66">
        <v>7.2779</v>
      </c>
      <c r="I941" s="66">
        <v>8.3876</v>
      </c>
      <c r="J941" s="66">
        <v>7.6937</v>
      </c>
      <c r="K941" s="81">
        <f t="shared" si="2"/>
        <v>1.1097</v>
      </c>
      <c r="L941" s="81">
        <f t="shared" si="3"/>
        <v>0.4158</v>
      </c>
    </row>
    <row r="942">
      <c r="A942" s="82">
        <v>44698.0</v>
      </c>
      <c r="B942" s="82">
        <v>44698.0</v>
      </c>
      <c r="C942" s="66" t="s">
        <v>212</v>
      </c>
      <c r="D942" s="66" t="s">
        <v>198</v>
      </c>
      <c r="E942" s="66">
        <v>0.0</v>
      </c>
      <c r="F942" s="66" t="s">
        <v>204</v>
      </c>
      <c r="G942" s="66">
        <f t="shared" si="11"/>
        <v>0</v>
      </c>
      <c r="H942" s="66">
        <v>7.3549</v>
      </c>
      <c r="I942" s="66">
        <v>7.8961</v>
      </c>
      <c r="J942" s="66">
        <v>7.5744</v>
      </c>
      <c r="K942" s="81">
        <f t="shared" si="2"/>
        <v>0.5412</v>
      </c>
      <c r="L942" s="81">
        <f t="shared" si="3"/>
        <v>0.2195</v>
      </c>
    </row>
    <row r="943">
      <c r="A943" s="82">
        <v>44698.0</v>
      </c>
      <c r="B943" s="82">
        <v>44698.0</v>
      </c>
      <c r="C943" s="66" t="s">
        <v>212</v>
      </c>
      <c r="D943" s="66" t="s">
        <v>198</v>
      </c>
      <c r="E943" s="66">
        <v>0.0</v>
      </c>
      <c r="F943" s="66" t="s">
        <v>205</v>
      </c>
      <c r="G943" s="66">
        <f t="shared" si="11"/>
        <v>0</v>
      </c>
      <c r="H943" s="66">
        <v>26.5964</v>
      </c>
      <c r="I943" s="66">
        <v>28.82</v>
      </c>
      <c r="J943" s="66">
        <v>27.4414</v>
      </c>
      <c r="K943" s="81">
        <f t="shared" si="2"/>
        <v>2.2236</v>
      </c>
      <c r="L943" s="81">
        <f t="shared" si="3"/>
        <v>0.845</v>
      </c>
    </row>
    <row r="944">
      <c r="A944" s="82">
        <v>44698.0</v>
      </c>
      <c r="B944" s="82">
        <v>44698.0</v>
      </c>
      <c r="C944" s="66" t="s">
        <v>213</v>
      </c>
      <c r="D944" s="66" t="s">
        <v>198</v>
      </c>
      <c r="E944" s="66">
        <v>0.0</v>
      </c>
      <c r="F944" s="66" t="s">
        <v>205</v>
      </c>
      <c r="G944" s="66">
        <f t="shared" si="11"/>
        <v>0</v>
      </c>
      <c r="H944" s="66">
        <v>68.3285</v>
      </c>
      <c r="I944" s="66">
        <v>74.9175</v>
      </c>
      <c r="J944" s="66">
        <v>70.3219</v>
      </c>
      <c r="K944" s="81">
        <f t="shared" si="2"/>
        <v>6.589</v>
      </c>
      <c r="L944" s="81">
        <f t="shared" si="3"/>
        <v>1.9934</v>
      </c>
    </row>
    <row r="945">
      <c r="A945" s="82">
        <v>44698.0</v>
      </c>
      <c r="B945" s="82">
        <v>44698.0</v>
      </c>
      <c r="C945" s="66" t="s">
        <v>213</v>
      </c>
      <c r="D945" s="66" t="s">
        <v>198</v>
      </c>
      <c r="E945" s="66">
        <v>0.0</v>
      </c>
      <c r="F945" s="66" t="s">
        <v>205</v>
      </c>
      <c r="G945" s="66">
        <f t="shared" si="11"/>
        <v>0</v>
      </c>
      <c r="H945" s="66">
        <v>67.2702</v>
      </c>
      <c r="I945" s="66">
        <v>77.188</v>
      </c>
      <c r="J945" s="66">
        <v>69.804</v>
      </c>
      <c r="K945" s="81">
        <f t="shared" si="2"/>
        <v>9.9178</v>
      </c>
      <c r="L945" s="81">
        <f t="shared" si="3"/>
        <v>2.5338</v>
      </c>
    </row>
    <row r="946">
      <c r="A946" s="82">
        <v>44698.0</v>
      </c>
      <c r="B946" s="82">
        <v>44698.0</v>
      </c>
      <c r="C946" s="66" t="s">
        <v>213</v>
      </c>
      <c r="D946" s="66" t="s">
        <v>198</v>
      </c>
      <c r="E946" s="66">
        <v>0.0</v>
      </c>
      <c r="F946" s="66" t="s">
        <v>205</v>
      </c>
      <c r="G946" s="66">
        <f t="shared" si="11"/>
        <v>0</v>
      </c>
      <c r="H946" s="66">
        <v>67.6346</v>
      </c>
      <c r="I946" s="66">
        <v>76.4047</v>
      </c>
      <c r="J946" s="66">
        <v>69.793</v>
      </c>
      <c r="K946" s="81">
        <f t="shared" si="2"/>
        <v>8.7701</v>
      </c>
      <c r="L946" s="81">
        <f t="shared" si="3"/>
        <v>2.1584</v>
      </c>
    </row>
    <row r="947">
      <c r="A947" s="82">
        <v>44698.0</v>
      </c>
      <c r="B947" s="82">
        <v>44698.0</v>
      </c>
      <c r="C947" s="66" t="s">
        <v>95</v>
      </c>
      <c r="D947" s="66" t="s">
        <v>198</v>
      </c>
      <c r="E947" s="66">
        <v>0.0</v>
      </c>
      <c r="F947" s="66" t="s">
        <v>204</v>
      </c>
      <c r="G947" s="66">
        <f t="shared" si="11"/>
        <v>0</v>
      </c>
      <c r="H947" s="66">
        <v>7.3903</v>
      </c>
      <c r="I947" s="66">
        <v>7.8606</v>
      </c>
      <c r="J947" s="66">
        <v>7.5955</v>
      </c>
      <c r="K947" s="81">
        <f t="shared" si="2"/>
        <v>0.4703</v>
      </c>
      <c r="L947" s="81">
        <f t="shared" si="3"/>
        <v>0.2052</v>
      </c>
    </row>
    <row r="948">
      <c r="A948" s="82">
        <v>44698.0</v>
      </c>
      <c r="B948" s="82">
        <v>44698.0</v>
      </c>
      <c r="C948" s="66" t="s">
        <v>95</v>
      </c>
      <c r="D948" s="66" t="s">
        <v>198</v>
      </c>
      <c r="E948" s="66">
        <v>0.0</v>
      </c>
      <c r="F948" s="66" t="s">
        <v>205</v>
      </c>
      <c r="G948" s="66">
        <f t="shared" si="11"/>
        <v>0</v>
      </c>
      <c r="H948" s="66">
        <v>67.9034</v>
      </c>
      <c r="I948" s="66">
        <v>70.2691</v>
      </c>
      <c r="J948" s="66">
        <v>68.8266</v>
      </c>
      <c r="K948" s="81">
        <f t="shared" si="2"/>
        <v>2.3657</v>
      </c>
      <c r="L948" s="81">
        <f t="shared" si="3"/>
        <v>0.9232</v>
      </c>
    </row>
    <row r="949">
      <c r="A949" s="82">
        <v>44698.0</v>
      </c>
      <c r="B949" s="82">
        <v>44698.0</v>
      </c>
      <c r="C949" s="66" t="s">
        <v>213</v>
      </c>
      <c r="D949" s="66" t="s">
        <v>198</v>
      </c>
      <c r="E949" s="66">
        <v>0.0</v>
      </c>
      <c r="F949" s="66" t="s">
        <v>204</v>
      </c>
      <c r="G949" s="66">
        <f t="shared" si="11"/>
        <v>0</v>
      </c>
      <c r="H949" s="66">
        <v>7.3988</v>
      </c>
      <c r="I949" s="66">
        <v>9.4837</v>
      </c>
      <c r="J949" s="66">
        <v>7.7994</v>
      </c>
      <c r="K949" s="81">
        <f t="shared" si="2"/>
        <v>2.0849</v>
      </c>
      <c r="L949" s="81">
        <f t="shared" si="3"/>
        <v>0.4006</v>
      </c>
    </row>
    <row r="950">
      <c r="A950" s="82">
        <v>44698.0</v>
      </c>
      <c r="B950" s="82">
        <v>44698.0</v>
      </c>
      <c r="C950" s="66" t="s">
        <v>212</v>
      </c>
      <c r="D950" s="66" t="s">
        <v>198</v>
      </c>
      <c r="E950" s="66">
        <v>0.0</v>
      </c>
      <c r="F950" s="66" t="s">
        <v>204</v>
      </c>
      <c r="G950" s="66">
        <f t="shared" si="11"/>
        <v>0</v>
      </c>
      <c r="H950" s="66">
        <v>7.3483</v>
      </c>
      <c r="I950" s="66">
        <v>8.4008</v>
      </c>
      <c r="J950" s="66">
        <v>7.7279</v>
      </c>
      <c r="K950" s="81">
        <f t="shared" si="2"/>
        <v>1.0525</v>
      </c>
      <c r="L950" s="81">
        <f t="shared" si="3"/>
        <v>0.3796</v>
      </c>
    </row>
    <row r="951">
      <c r="A951" s="82">
        <v>44698.0</v>
      </c>
      <c r="B951" s="82">
        <v>44698.0</v>
      </c>
      <c r="C951" s="66" t="s">
        <v>213</v>
      </c>
      <c r="D951" s="66" t="s">
        <v>198</v>
      </c>
      <c r="E951" s="66">
        <v>0.0</v>
      </c>
      <c r="F951" s="66" t="s">
        <v>204</v>
      </c>
      <c r="G951" s="66">
        <f t="shared" si="11"/>
        <v>0</v>
      </c>
      <c r="H951" s="66">
        <v>6.2774</v>
      </c>
      <c r="I951" s="66">
        <v>7.9404</v>
      </c>
      <c r="J951" s="66">
        <v>6.7177</v>
      </c>
      <c r="K951" s="81">
        <f t="shared" si="2"/>
        <v>1.663</v>
      </c>
      <c r="L951" s="81">
        <f t="shared" si="3"/>
        <v>0.4403</v>
      </c>
    </row>
    <row r="952">
      <c r="A952" s="82">
        <v>44698.0</v>
      </c>
      <c r="B952" s="82">
        <v>44698.0</v>
      </c>
      <c r="C952" s="66" t="s">
        <v>213</v>
      </c>
      <c r="D952" s="66" t="s">
        <v>198</v>
      </c>
      <c r="E952" s="66">
        <v>0.0</v>
      </c>
      <c r="F952" s="66" t="s">
        <v>204</v>
      </c>
      <c r="G952" s="66">
        <f t="shared" si="11"/>
        <v>0</v>
      </c>
      <c r="H952" s="66">
        <v>7.3017</v>
      </c>
      <c r="I952" s="66">
        <v>9.8482</v>
      </c>
      <c r="J952" s="66">
        <v>8.0554</v>
      </c>
      <c r="K952" s="81">
        <f t="shared" si="2"/>
        <v>2.5465</v>
      </c>
      <c r="L952" s="81">
        <f t="shared" si="3"/>
        <v>0.7537</v>
      </c>
    </row>
    <row r="953">
      <c r="A953" s="82">
        <v>44698.0</v>
      </c>
      <c r="B953" s="82">
        <v>44698.0</v>
      </c>
      <c r="C953" s="66" t="s">
        <v>95</v>
      </c>
      <c r="D953" s="66" t="s">
        <v>198</v>
      </c>
      <c r="E953" s="66">
        <v>0.0</v>
      </c>
      <c r="F953" s="66" t="s">
        <v>205</v>
      </c>
      <c r="G953" s="66">
        <f t="shared" si="11"/>
        <v>0</v>
      </c>
      <c r="H953" s="66">
        <v>68.1454</v>
      </c>
      <c r="I953" s="66">
        <v>70.8591</v>
      </c>
      <c r="J953" s="66">
        <v>69.2915</v>
      </c>
      <c r="K953" s="81">
        <f t="shared" si="2"/>
        <v>2.7137</v>
      </c>
      <c r="L953" s="81">
        <f t="shared" si="3"/>
        <v>1.1461</v>
      </c>
    </row>
    <row r="954">
      <c r="A954" s="82">
        <v>44704.0</v>
      </c>
      <c r="B954" s="82">
        <v>44704.0</v>
      </c>
      <c r="C954" s="66">
        <v>2352.0</v>
      </c>
      <c r="D954" s="66" t="s">
        <v>203</v>
      </c>
      <c r="E954" s="66">
        <v>1.0</v>
      </c>
      <c r="F954" s="66" t="s">
        <v>205</v>
      </c>
      <c r="G954" s="66">
        <f t="shared" si="11"/>
        <v>0</v>
      </c>
      <c r="H954" s="66">
        <v>26.0264</v>
      </c>
      <c r="I954" s="66">
        <v>27.3151</v>
      </c>
      <c r="J954" s="66">
        <v>26.7266</v>
      </c>
      <c r="K954" s="81">
        <f t="shared" si="2"/>
        <v>1.2887</v>
      </c>
      <c r="L954" s="81">
        <f t="shared" si="3"/>
        <v>0.7002</v>
      </c>
    </row>
    <row r="955">
      <c r="A955" s="82">
        <v>44704.0</v>
      </c>
      <c r="B955" s="82">
        <v>44704.0</v>
      </c>
      <c r="C955" s="66">
        <v>2331.0</v>
      </c>
      <c r="D955" s="66" t="s">
        <v>203</v>
      </c>
      <c r="E955" s="66">
        <v>0.0</v>
      </c>
      <c r="F955" s="66" t="s">
        <v>205</v>
      </c>
      <c r="G955" s="66">
        <f t="shared" si="11"/>
        <v>0</v>
      </c>
      <c r="H955" s="66">
        <v>25.8047</v>
      </c>
      <c r="I955" s="66">
        <v>26.2113</v>
      </c>
      <c r="J955" s="66">
        <v>26.0053</v>
      </c>
      <c r="K955" s="81">
        <f t="shared" si="2"/>
        <v>0.4066</v>
      </c>
      <c r="L955" s="81">
        <f t="shared" si="3"/>
        <v>0.2006</v>
      </c>
    </row>
    <row r="956">
      <c r="A956" s="82">
        <v>44704.0</v>
      </c>
      <c r="B956" s="82">
        <v>44704.0</v>
      </c>
      <c r="C956" s="66">
        <v>2375.0</v>
      </c>
      <c r="D956" s="66" t="s">
        <v>203</v>
      </c>
      <c r="E956" s="66">
        <v>0.0</v>
      </c>
      <c r="F956" s="66" t="s">
        <v>205</v>
      </c>
      <c r="G956" s="66">
        <f t="shared" si="11"/>
        <v>0</v>
      </c>
      <c r="H956" s="66">
        <v>26.3713</v>
      </c>
      <c r="I956" s="66">
        <v>28.0085</v>
      </c>
      <c r="J956" s="66">
        <v>27.1952</v>
      </c>
      <c r="K956" s="81">
        <f t="shared" si="2"/>
        <v>1.6372</v>
      </c>
      <c r="L956" s="81">
        <f t="shared" si="3"/>
        <v>0.8239</v>
      </c>
    </row>
    <row r="957">
      <c r="A957" s="82">
        <v>44704.0</v>
      </c>
      <c r="B957" s="82">
        <v>44704.0</v>
      </c>
      <c r="C957" s="66">
        <v>2378.0</v>
      </c>
      <c r="D957" s="66" t="s">
        <v>203</v>
      </c>
      <c r="E957" s="66">
        <v>1.0</v>
      </c>
      <c r="F957" s="66" t="s">
        <v>204</v>
      </c>
      <c r="G957" s="66">
        <f t="shared" si="11"/>
        <v>0</v>
      </c>
      <c r="H957" s="66">
        <v>25.309</v>
      </c>
      <c r="I957" s="66">
        <v>25.5201</v>
      </c>
      <c r="J957" s="66">
        <v>25.3981</v>
      </c>
      <c r="K957" s="81">
        <f t="shared" si="2"/>
        <v>0.2111</v>
      </c>
      <c r="L957" s="81">
        <f t="shared" si="3"/>
        <v>0.0891</v>
      </c>
    </row>
    <row r="958">
      <c r="A958" s="82">
        <v>44704.0</v>
      </c>
      <c r="B958" s="82">
        <v>44704.0</v>
      </c>
      <c r="C958" s="66">
        <v>2347.0</v>
      </c>
      <c r="D958" s="66" t="s">
        <v>203</v>
      </c>
      <c r="E958" s="66">
        <v>0.0</v>
      </c>
      <c r="F958" s="66" t="s">
        <v>205</v>
      </c>
      <c r="G958" s="66">
        <f t="shared" si="11"/>
        <v>0</v>
      </c>
      <c r="H958" s="66">
        <v>25.7272</v>
      </c>
      <c r="I958" s="66">
        <v>27.3406</v>
      </c>
      <c r="J958" s="66">
        <v>26.4937</v>
      </c>
      <c r="K958" s="81">
        <f t="shared" si="2"/>
        <v>1.6134</v>
      </c>
      <c r="L958" s="81">
        <f t="shared" si="3"/>
        <v>0.7665</v>
      </c>
    </row>
    <row r="959">
      <c r="A959" s="82">
        <v>44704.0</v>
      </c>
      <c r="B959" s="82">
        <v>44704.0</v>
      </c>
      <c r="C959" s="66">
        <v>2378.0</v>
      </c>
      <c r="D959" s="66" t="s">
        <v>203</v>
      </c>
      <c r="E959" s="66">
        <v>0.0</v>
      </c>
      <c r="F959" s="66" t="s">
        <v>205</v>
      </c>
      <c r="G959" s="66">
        <f t="shared" si="11"/>
        <v>0</v>
      </c>
      <c r="H959" s="66">
        <v>25.5551</v>
      </c>
      <c r="I959" s="66">
        <v>26.8213</v>
      </c>
      <c r="J959" s="66">
        <v>26.1205</v>
      </c>
      <c r="K959" s="81">
        <f t="shared" si="2"/>
        <v>1.2662</v>
      </c>
      <c r="L959" s="81">
        <f t="shared" si="3"/>
        <v>0.5654</v>
      </c>
    </row>
    <row r="960">
      <c r="A960" s="82">
        <v>44704.0</v>
      </c>
      <c r="B960" s="82">
        <v>44704.0</v>
      </c>
      <c r="C960" s="66">
        <v>2070.0</v>
      </c>
      <c r="D960" s="66" t="s">
        <v>203</v>
      </c>
      <c r="E960" s="66">
        <v>0.0</v>
      </c>
      <c r="F960" s="66" t="s">
        <v>205</v>
      </c>
      <c r="G960" s="66">
        <f t="shared" si="11"/>
        <v>0</v>
      </c>
      <c r="H960" s="66">
        <v>25.9105</v>
      </c>
      <c r="I960" s="66">
        <v>26.497</v>
      </c>
      <c r="J960" s="66">
        <v>26.3636</v>
      </c>
      <c r="K960" s="81">
        <f t="shared" si="2"/>
        <v>0.5865</v>
      </c>
      <c r="L960" s="81">
        <f t="shared" si="3"/>
        <v>0.4531</v>
      </c>
    </row>
    <row r="961">
      <c r="A961" s="82">
        <v>44704.0</v>
      </c>
      <c r="B961" s="82">
        <v>44704.0</v>
      </c>
      <c r="C961" s="66">
        <v>2384.0</v>
      </c>
      <c r="D961" s="66" t="s">
        <v>203</v>
      </c>
      <c r="E961" s="66">
        <v>0.0</v>
      </c>
      <c r="F961" s="66" t="s">
        <v>205</v>
      </c>
      <c r="G961" s="66">
        <f t="shared" si="11"/>
        <v>0</v>
      </c>
      <c r="H961" s="66">
        <v>25.3392</v>
      </c>
      <c r="I961" s="66">
        <v>26.5472</v>
      </c>
      <c r="J961" s="66">
        <v>25.928</v>
      </c>
      <c r="K961" s="81">
        <f t="shared" si="2"/>
        <v>1.208</v>
      </c>
      <c r="L961" s="81">
        <f t="shared" si="3"/>
        <v>0.5888</v>
      </c>
    </row>
    <row r="962">
      <c r="A962" s="82">
        <v>44704.0</v>
      </c>
      <c r="B962" s="82">
        <v>44704.0</v>
      </c>
      <c r="C962" s="66">
        <v>2380.0</v>
      </c>
      <c r="D962" s="66" t="s">
        <v>203</v>
      </c>
      <c r="E962" s="66">
        <v>0.0</v>
      </c>
      <c r="F962" s="66" t="s">
        <v>204</v>
      </c>
      <c r="G962" s="66">
        <f t="shared" si="11"/>
        <v>0</v>
      </c>
      <c r="H962" s="66">
        <v>26.0437</v>
      </c>
      <c r="I962" s="66">
        <v>26.4051</v>
      </c>
      <c r="J962" s="66">
        <v>26.1935</v>
      </c>
      <c r="K962" s="81">
        <f t="shared" si="2"/>
        <v>0.3614</v>
      </c>
      <c r="L962" s="81">
        <f t="shared" si="3"/>
        <v>0.1498</v>
      </c>
      <c r="N962" s="66" t="s">
        <v>210</v>
      </c>
    </row>
    <row r="963">
      <c r="A963" s="82">
        <v>44704.0</v>
      </c>
      <c r="B963" s="82">
        <v>44704.0</v>
      </c>
      <c r="C963" s="66">
        <v>2379.0</v>
      </c>
      <c r="D963" s="66" t="s">
        <v>203</v>
      </c>
      <c r="E963" s="66">
        <v>0.0</v>
      </c>
      <c r="F963" s="66" t="s">
        <v>205</v>
      </c>
      <c r="G963" s="66">
        <f t="shared" si="11"/>
        <v>0</v>
      </c>
      <c r="H963" s="66">
        <v>25.1554</v>
      </c>
      <c r="I963" s="66">
        <v>26.7485</v>
      </c>
      <c r="J963" s="66">
        <v>25.7433</v>
      </c>
      <c r="K963" s="81">
        <f t="shared" si="2"/>
        <v>1.5931</v>
      </c>
      <c r="L963" s="81">
        <f t="shared" si="3"/>
        <v>0.5879</v>
      </c>
    </row>
    <row r="964">
      <c r="A964" s="82">
        <v>44704.0</v>
      </c>
      <c r="B964" s="82">
        <v>44704.0</v>
      </c>
      <c r="C964" s="66">
        <v>2387.0</v>
      </c>
      <c r="D964" s="66" t="s">
        <v>203</v>
      </c>
      <c r="E964" s="66">
        <v>0.0</v>
      </c>
      <c r="F964" s="66" t="s">
        <v>205</v>
      </c>
      <c r="G964" s="66">
        <f t="shared" si="11"/>
        <v>0</v>
      </c>
      <c r="H964" s="66">
        <v>26.1702</v>
      </c>
      <c r="I964" s="66">
        <v>28.0671</v>
      </c>
      <c r="J964" s="66">
        <v>27.0783</v>
      </c>
      <c r="K964" s="81">
        <f t="shared" si="2"/>
        <v>1.8969</v>
      </c>
      <c r="L964" s="81">
        <f t="shared" si="3"/>
        <v>0.9081</v>
      </c>
    </row>
    <row r="965">
      <c r="A965" s="82">
        <v>44704.0</v>
      </c>
      <c r="B965" s="82">
        <v>44704.0</v>
      </c>
      <c r="C965" s="66">
        <v>2367.0</v>
      </c>
      <c r="D965" s="66" t="s">
        <v>203</v>
      </c>
      <c r="E965" s="66">
        <v>0.0</v>
      </c>
      <c r="F965" s="66" t="s">
        <v>205</v>
      </c>
      <c r="G965" s="66">
        <f t="shared" si="11"/>
        <v>0</v>
      </c>
      <c r="H965" s="66">
        <v>25.3186</v>
      </c>
      <c r="I965" s="66">
        <v>25.9673</v>
      </c>
      <c r="J965" s="66">
        <v>25.6296</v>
      </c>
      <c r="K965" s="81">
        <f t="shared" si="2"/>
        <v>0.6487</v>
      </c>
      <c r="L965" s="81">
        <f t="shared" si="3"/>
        <v>0.311</v>
      </c>
    </row>
    <row r="966">
      <c r="A966" s="82">
        <v>44704.0</v>
      </c>
      <c r="B966" s="82">
        <v>44704.0</v>
      </c>
      <c r="C966" s="66">
        <v>2380.0</v>
      </c>
      <c r="D966" s="66" t="s">
        <v>203</v>
      </c>
      <c r="E966" s="66">
        <v>0.0</v>
      </c>
      <c r="F966" s="66" t="s">
        <v>205</v>
      </c>
      <c r="G966" s="66">
        <f t="shared" si="11"/>
        <v>0</v>
      </c>
      <c r="H966" s="66">
        <v>25.6994</v>
      </c>
      <c r="I966" s="66">
        <v>27.4819</v>
      </c>
      <c r="J966" s="66">
        <v>26.6668</v>
      </c>
      <c r="K966" s="81">
        <f t="shared" si="2"/>
        <v>1.7825</v>
      </c>
      <c r="L966" s="81">
        <f t="shared" si="3"/>
        <v>0.9674</v>
      </c>
    </row>
    <row r="967">
      <c r="A967" s="82">
        <v>44704.0</v>
      </c>
      <c r="B967" s="82">
        <v>44704.0</v>
      </c>
      <c r="C967" s="66">
        <v>2376.0</v>
      </c>
      <c r="D967" s="66" t="s">
        <v>203</v>
      </c>
      <c r="E967" s="66">
        <v>1.0</v>
      </c>
      <c r="F967" s="66" t="s">
        <v>205</v>
      </c>
      <c r="G967" s="66">
        <f t="shared" si="11"/>
        <v>0</v>
      </c>
      <c r="H967" s="66">
        <v>26.1216</v>
      </c>
      <c r="I967" s="66">
        <v>27.3146</v>
      </c>
      <c r="J967" s="66">
        <v>27.0127</v>
      </c>
      <c r="K967" s="81">
        <f t="shared" si="2"/>
        <v>1.193</v>
      </c>
      <c r="L967" s="81">
        <f t="shared" si="3"/>
        <v>0.8911</v>
      </c>
    </row>
    <row r="968">
      <c r="A968" s="82">
        <v>44704.0</v>
      </c>
      <c r="B968" s="82">
        <v>44704.0</v>
      </c>
      <c r="C968" s="66">
        <v>2077.0</v>
      </c>
      <c r="D968" s="66" t="s">
        <v>203</v>
      </c>
      <c r="E968" s="66">
        <v>0.0</v>
      </c>
      <c r="F968" s="66" t="s">
        <v>204</v>
      </c>
      <c r="G968" s="66">
        <f t="shared" si="11"/>
        <v>0</v>
      </c>
      <c r="H968" s="66">
        <v>26.6755</v>
      </c>
      <c r="I968" s="66">
        <v>26.6884</v>
      </c>
      <c r="J968" s="66">
        <v>26.6758</v>
      </c>
      <c r="K968" s="81">
        <f t="shared" si="2"/>
        <v>0.0129</v>
      </c>
      <c r="L968" s="81">
        <f t="shared" si="3"/>
        <v>0.0003</v>
      </c>
    </row>
    <row r="969">
      <c r="A969" s="82">
        <v>44704.0</v>
      </c>
      <c r="B969" s="82">
        <v>44704.0</v>
      </c>
      <c r="C969" s="66">
        <v>2354.0</v>
      </c>
      <c r="D969" s="66" t="s">
        <v>203</v>
      </c>
      <c r="E969" s="66">
        <v>1.0</v>
      </c>
      <c r="F969" s="66" t="s">
        <v>205</v>
      </c>
      <c r="G969" s="66">
        <f t="shared" si="11"/>
        <v>0</v>
      </c>
      <c r="H969" s="66">
        <v>25.0935</v>
      </c>
      <c r="I969" s="66">
        <v>27.5858</v>
      </c>
      <c r="J969" s="66">
        <v>27.0935</v>
      </c>
      <c r="K969" s="81">
        <f t="shared" si="2"/>
        <v>2.4923</v>
      </c>
      <c r="L969" s="81">
        <f t="shared" si="3"/>
        <v>2</v>
      </c>
    </row>
    <row r="970">
      <c r="A970" s="82">
        <v>44704.0</v>
      </c>
      <c r="B970" s="82">
        <v>44704.0</v>
      </c>
      <c r="C970" s="66">
        <v>2382.0</v>
      </c>
      <c r="D970" s="66" t="s">
        <v>203</v>
      </c>
      <c r="E970" s="66">
        <v>1.0</v>
      </c>
      <c r="F970" s="66" t="s">
        <v>204</v>
      </c>
      <c r="G970" s="66">
        <f t="shared" si="11"/>
        <v>0</v>
      </c>
      <c r="H970" s="66">
        <v>25.7381</v>
      </c>
      <c r="I970" s="66">
        <v>26.2955</v>
      </c>
      <c r="J970" s="66">
        <v>25.8604</v>
      </c>
      <c r="K970" s="81">
        <f t="shared" si="2"/>
        <v>0.5574</v>
      </c>
      <c r="L970" s="81">
        <f t="shared" si="3"/>
        <v>0.1223</v>
      </c>
      <c r="N970" s="66" t="s">
        <v>210</v>
      </c>
    </row>
    <row r="971">
      <c r="A971" s="82">
        <v>44704.0</v>
      </c>
      <c r="B971" s="82">
        <v>44704.0</v>
      </c>
      <c r="C971" s="66">
        <v>2369.0</v>
      </c>
      <c r="D971" s="66" t="s">
        <v>203</v>
      </c>
      <c r="E971" s="66">
        <v>0.0</v>
      </c>
      <c r="F971" s="66" t="s">
        <v>205</v>
      </c>
      <c r="G971" s="66">
        <f t="shared" si="11"/>
        <v>0</v>
      </c>
      <c r="H971" s="66">
        <v>25.882</v>
      </c>
      <c r="I971" s="66">
        <v>27.993</v>
      </c>
      <c r="J971" s="66">
        <v>26.7732</v>
      </c>
      <c r="K971" s="81">
        <f t="shared" si="2"/>
        <v>2.111</v>
      </c>
      <c r="L971" s="81">
        <f t="shared" si="3"/>
        <v>0.8912</v>
      </c>
    </row>
    <row r="972">
      <c r="A972" s="82">
        <v>44704.0</v>
      </c>
      <c r="B972" s="82">
        <v>44704.0</v>
      </c>
      <c r="C972" s="66">
        <v>2370.0</v>
      </c>
      <c r="D972" s="66" t="s">
        <v>203</v>
      </c>
      <c r="E972" s="66">
        <v>0.0</v>
      </c>
      <c r="F972" s="66" t="s">
        <v>205</v>
      </c>
      <c r="G972" s="66">
        <f t="shared" si="11"/>
        <v>0</v>
      </c>
      <c r="H972" s="66">
        <v>26.1046</v>
      </c>
      <c r="I972" s="66">
        <v>28.1362</v>
      </c>
      <c r="J972" s="66">
        <v>27.1243</v>
      </c>
      <c r="K972" s="81">
        <f t="shared" si="2"/>
        <v>2.0316</v>
      </c>
      <c r="L972" s="81">
        <f t="shared" si="3"/>
        <v>1.0197</v>
      </c>
    </row>
    <row r="973">
      <c r="A973" s="82">
        <v>44704.0</v>
      </c>
      <c r="B973" s="82">
        <v>44704.0</v>
      </c>
      <c r="C973" s="66">
        <v>2383.0</v>
      </c>
      <c r="D973" s="66" t="s">
        <v>203</v>
      </c>
      <c r="E973" s="66">
        <v>1.0</v>
      </c>
      <c r="F973" s="66" t="s">
        <v>204</v>
      </c>
      <c r="G973" s="66">
        <f t="shared" si="11"/>
        <v>0</v>
      </c>
      <c r="H973" s="66">
        <v>25.7011</v>
      </c>
      <c r="I973" s="66">
        <v>26.3282</v>
      </c>
      <c r="J973" s="66">
        <v>25.796</v>
      </c>
      <c r="K973" s="81">
        <f t="shared" si="2"/>
        <v>0.6271</v>
      </c>
      <c r="L973" s="81">
        <f t="shared" si="3"/>
        <v>0.0949</v>
      </c>
    </row>
    <row r="974">
      <c r="A974" s="82">
        <v>44704.0</v>
      </c>
      <c r="B974" s="82">
        <v>44704.0</v>
      </c>
      <c r="C974" s="66">
        <v>2352.0</v>
      </c>
      <c r="D974" s="66" t="s">
        <v>203</v>
      </c>
      <c r="E974" s="66">
        <v>1.0</v>
      </c>
      <c r="F974" s="66" t="s">
        <v>204</v>
      </c>
      <c r="G974" s="66">
        <f t="shared" si="11"/>
        <v>0</v>
      </c>
      <c r="H974" s="66">
        <v>26.049</v>
      </c>
      <c r="I974" s="66">
        <v>26.3031</v>
      </c>
      <c r="J974" s="66">
        <v>26.1171</v>
      </c>
      <c r="K974" s="81">
        <f t="shared" si="2"/>
        <v>0.2541</v>
      </c>
      <c r="L974" s="81">
        <f t="shared" si="3"/>
        <v>0.0681</v>
      </c>
    </row>
    <row r="975">
      <c r="A975" s="82">
        <v>44704.0</v>
      </c>
      <c r="B975" s="82">
        <v>44704.0</v>
      </c>
      <c r="C975" s="66">
        <v>2009.0</v>
      </c>
      <c r="D975" s="66" t="s">
        <v>203</v>
      </c>
      <c r="E975" s="66">
        <v>1.0</v>
      </c>
      <c r="F975" s="66" t="s">
        <v>204</v>
      </c>
      <c r="G975" s="66">
        <f t="shared" si="11"/>
        <v>0</v>
      </c>
      <c r="H975" s="66">
        <v>25.9115</v>
      </c>
      <c r="I975" s="66">
        <v>26.3792</v>
      </c>
      <c r="J975" s="66">
        <v>26.1687</v>
      </c>
      <c r="K975" s="81">
        <f t="shared" si="2"/>
        <v>0.4677</v>
      </c>
      <c r="L975" s="81">
        <f t="shared" si="3"/>
        <v>0.2572</v>
      </c>
    </row>
    <row r="976">
      <c r="A976" s="82">
        <v>44704.0</v>
      </c>
      <c r="B976" s="82">
        <v>44704.0</v>
      </c>
      <c r="C976" s="66">
        <v>2384.0</v>
      </c>
      <c r="D976" s="66" t="s">
        <v>203</v>
      </c>
      <c r="E976" s="66">
        <v>0.0</v>
      </c>
      <c r="F976" s="66" t="s">
        <v>204</v>
      </c>
      <c r="G976" s="66">
        <f t="shared" si="11"/>
        <v>0</v>
      </c>
      <c r="H976" s="66">
        <v>25.8568</v>
      </c>
      <c r="I976" s="66">
        <v>26.1607</v>
      </c>
      <c r="J976" s="66">
        <v>26.1113</v>
      </c>
      <c r="K976" s="81">
        <f t="shared" si="2"/>
        <v>0.3039</v>
      </c>
      <c r="L976" s="81">
        <f t="shared" si="3"/>
        <v>0.2545</v>
      </c>
    </row>
    <row r="977">
      <c r="A977" s="82">
        <v>44704.0</v>
      </c>
      <c r="B977" s="82">
        <v>44704.0</v>
      </c>
      <c r="C977" s="66">
        <v>2343.0</v>
      </c>
      <c r="D977" s="66" t="s">
        <v>203</v>
      </c>
      <c r="E977" s="66">
        <v>1.0</v>
      </c>
      <c r="F977" s="66" t="s">
        <v>204</v>
      </c>
      <c r="G977" s="66">
        <f t="shared" si="11"/>
        <v>0</v>
      </c>
      <c r="H977" s="66">
        <v>26.0754</v>
      </c>
      <c r="I977" s="66">
        <v>26.2763</v>
      </c>
      <c r="J977" s="66">
        <v>26.1946</v>
      </c>
      <c r="K977" s="81">
        <f t="shared" si="2"/>
        <v>0.2009</v>
      </c>
      <c r="L977" s="81">
        <f t="shared" si="3"/>
        <v>0.1192</v>
      </c>
    </row>
    <row r="978">
      <c r="A978" s="82">
        <v>44704.0</v>
      </c>
      <c r="B978" s="82">
        <v>44704.0</v>
      </c>
      <c r="C978" s="66">
        <v>2365.0</v>
      </c>
      <c r="D978" s="66" t="s">
        <v>203</v>
      </c>
      <c r="E978" s="66">
        <v>0.0</v>
      </c>
      <c r="F978" s="66" t="s">
        <v>205</v>
      </c>
      <c r="G978" s="66">
        <f t="shared" si="11"/>
        <v>0</v>
      </c>
      <c r="H978" s="66">
        <v>25.8122</v>
      </c>
      <c r="I978" s="66">
        <v>27.3131</v>
      </c>
      <c r="J978" s="66">
        <v>26.3758</v>
      </c>
      <c r="K978" s="81">
        <f t="shared" si="2"/>
        <v>1.5009</v>
      </c>
      <c r="L978" s="81">
        <f t="shared" si="3"/>
        <v>0.5636</v>
      </c>
    </row>
    <row r="979">
      <c r="A979" s="82">
        <v>44704.0</v>
      </c>
      <c r="B979" s="82">
        <v>44704.0</v>
      </c>
      <c r="C979" s="66">
        <v>2369.0</v>
      </c>
      <c r="D979" s="66" t="s">
        <v>203</v>
      </c>
      <c r="E979" s="66">
        <v>0.0</v>
      </c>
      <c r="F979" s="66" t="s">
        <v>204</v>
      </c>
      <c r="G979" s="66">
        <f t="shared" si="11"/>
        <v>0</v>
      </c>
      <c r="H979" s="66">
        <v>26.2126</v>
      </c>
      <c r="I979" s="66">
        <v>26.7732</v>
      </c>
      <c r="J979" s="66">
        <v>26.2946</v>
      </c>
      <c r="K979" s="81">
        <f t="shared" si="2"/>
        <v>0.5606</v>
      </c>
      <c r="L979" s="81">
        <f t="shared" si="3"/>
        <v>0.082</v>
      </c>
    </row>
    <row r="980">
      <c r="A980" s="82">
        <v>44704.0</v>
      </c>
      <c r="B980" s="82">
        <v>44704.0</v>
      </c>
      <c r="C980" s="66">
        <v>2331.0</v>
      </c>
      <c r="D980" s="66" t="s">
        <v>203</v>
      </c>
      <c r="E980" s="66">
        <v>1.0</v>
      </c>
      <c r="F980" s="66" t="s">
        <v>205</v>
      </c>
      <c r="G980" s="66">
        <f t="shared" si="11"/>
        <v>0</v>
      </c>
      <c r="H980" s="66">
        <v>26.0527</v>
      </c>
      <c r="I980" s="66">
        <v>27.1762</v>
      </c>
      <c r="J980" s="66">
        <v>26.6866</v>
      </c>
      <c r="K980" s="81">
        <f t="shared" si="2"/>
        <v>1.1235</v>
      </c>
      <c r="L980" s="81">
        <f t="shared" si="3"/>
        <v>0.6339</v>
      </c>
    </row>
    <row r="981">
      <c r="A981" s="82">
        <v>44704.0</v>
      </c>
      <c r="B981" s="82">
        <v>44704.0</v>
      </c>
      <c r="C981" s="66">
        <v>2343.0</v>
      </c>
      <c r="D981" s="66" t="s">
        <v>203</v>
      </c>
      <c r="E981" s="66">
        <v>0.0</v>
      </c>
      <c r="F981" s="66" t="s">
        <v>204</v>
      </c>
      <c r="G981" s="66">
        <f t="shared" si="11"/>
        <v>0</v>
      </c>
      <c r="H981" s="66">
        <v>25.676</v>
      </c>
      <c r="I981" s="66">
        <v>25.8809</v>
      </c>
      <c r="J981" s="66">
        <v>25.8016</v>
      </c>
      <c r="K981" s="81">
        <f t="shared" si="2"/>
        <v>0.2049</v>
      </c>
      <c r="L981" s="81">
        <f t="shared" si="3"/>
        <v>0.1256</v>
      </c>
    </row>
    <row r="982">
      <c r="A982" s="82">
        <v>44704.0</v>
      </c>
      <c r="B982" s="82">
        <v>44704.0</v>
      </c>
      <c r="C982" s="66">
        <v>2382.0</v>
      </c>
      <c r="D982" s="66" t="s">
        <v>203</v>
      </c>
      <c r="E982" s="66">
        <v>0.0</v>
      </c>
      <c r="F982" s="66" t="s">
        <v>204</v>
      </c>
      <c r="G982" s="66">
        <f t="shared" si="11"/>
        <v>0</v>
      </c>
      <c r="H982" s="66">
        <v>25.7521</v>
      </c>
      <c r="I982" s="66">
        <v>25.98</v>
      </c>
      <c r="J982" s="66">
        <v>25.869</v>
      </c>
      <c r="K982" s="81">
        <f t="shared" si="2"/>
        <v>0.2279</v>
      </c>
      <c r="L982" s="81">
        <f t="shared" si="3"/>
        <v>0.1169</v>
      </c>
    </row>
    <row r="983">
      <c r="A983" s="82">
        <v>44704.0</v>
      </c>
      <c r="B983" s="82">
        <v>44704.0</v>
      </c>
      <c r="C983" s="66">
        <v>2380.0</v>
      </c>
      <c r="D983" s="66" t="s">
        <v>203</v>
      </c>
      <c r="E983" s="66">
        <v>1.0</v>
      </c>
      <c r="F983" s="66" t="s">
        <v>205</v>
      </c>
      <c r="G983" s="66">
        <f t="shared" si="11"/>
        <v>0</v>
      </c>
      <c r="H983" s="66">
        <v>25.7505</v>
      </c>
      <c r="I983" s="66">
        <v>26.7941</v>
      </c>
      <c r="J983" s="66">
        <v>26.132</v>
      </c>
      <c r="K983" s="81">
        <f t="shared" si="2"/>
        <v>1.0436</v>
      </c>
      <c r="L983" s="81">
        <f t="shared" si="3"/>
        <v>0.3815</v>
      </c>
    </row>
    <row r="984">
      <c r="A984" s="82">
        <v>44704.0</v>
      </c>
      <c r="B984" s="82">
        <v>44704.0</v>
      </c>
      <c r="C984" s="66">
        <v>2070.0</v>
      </c>
      <c r="D984" s="66" t="s">
        <v>203</v>
      </c>
      <c r="E984" s="66">
        <v>0.0</v>
      </c>
      <c r="F984" s="66" t="s">
        <v>204</v>
      </c>
      <c r="G984" s="66">
        <f t="shared" si="11"/>
        <v>0</v>
      </c>
      <c r="H984" s="66">
        <v>25.3045</v>
      </c>
      <c r="I984" s="66">
        <v>25.851</v>
      </c>
      <c r="J984" s="66">
        <v>25.3663</v>
      </c>
      <c r="K984" s="81">
        <f t="shared" si="2"/>
        <v>0.5465</v>
      </c>
      <c r="L984" s="81">
        <f t="shared" si="3"/>
        <v>0.0618</v>
      </c>
    </row>
    <row r="985">
      <c r="A985" s="82">
        <v>44704.0</v>
      </c>
      <c r="B985" s="82">
        <v>44704.0</v>
      </c>
      <c r="C985" s="66">
        <v>2382.0</v>
      </c>
      <c r="D985" s="66" t="s">
        <v>203</v>
      </c>
      <c r="E985" s="66">
        <v>0.0</v>
      </c>
      <c r="F985" s="66" t="s">
        <v>205</v>
      </c>
      <c r="G985" s="66">
        <f t="shared" si="11"/>
        <v>0</v>
      </c>
      <c r="H985" s="66">
        <v>25.9649</v>
      </c>
      <c r="I985" s="66">
        <v>28.1924</v>
      </c>
      <c r="J985" s="66">
        <v>27.0882</v>
      </c>
      <c r="K985" s="81">
        <f t="shared" si="2"/>
        <v>2.2275</v>
      </c>
      <c r="L985" s="81">
        <f t="shared" si="3"/>
        <v>1.1233</v>
      </c>
    </row>
    <row r="986">
      <c r="A986" s="82">
        <v>44704.0</v>
      </c>
      <c r="B986" s="82">
        <v>44704.0</v>
      </c>
      <c r="C986" s="66">
        <v>2077.0</v>
      </c>
      <c r="D986" s="66" t="s">
        <v>203</v>
      </c>
      <c r="E986" s="66">
        <v>0.0</v>
      </c>
      <c r="F986" s="66" t="s">
        <v>205</v>
      </c>
      <c r="G986" s="66">
        <f t="shared" si="11"/>
        <v>0</v>
      </c>
      <c r="H986" s="66">
        <v>25.6918</v>
      </c>
      <c r="I986" s="66">
        <v>27.2952</v>
      </c>
      <c r="J986" s="66">
        <v>26.3035</v>
      </c>
      <c r="K986" s="81">
        <f t="shared" si="2"/>
        <v>1.6034</v>
      </c>
      <c r="L986" s="81">
        <f t="shared" si="3"/>
        <v>0.6117</v>
      </c>
    </row>
    <row r="987">
      <c r="A987" s="82">
        <v>44704.0</v>
      </c>
      <c r="B987" s="82">
        <v>44704.0</v>
      </c>
      <c r="C987" s="66">
        <v>2346.0</v>
      </c>
      <c r="D987" s="66" t="s">
        <v>203</v>
      </c>
      <c r="E987" s="66">
        <v>0.0</v>
      </c>
      <c r="F987" s="66" t="s">
        <v>205</v>
      </c>
      <c r="G987" s="66">
        <f t="shared" si="11"/>
        <v>0</v>
      </c>
      <c r="H987" s="66">
        <v>15.1112</v>
      </c>
      <c r="I987" s="66">
        <v>16.5615</v>
      </c>
      <c r="J987" s="66">
        <v>15.8687</v>
      </c>
      <c r="K987" s="81">
        <f t="shared" si="2"/>
        <v>1.4503</v>
      </c>
      <c r="L987" s="81">
        <f t="shared" si="3"/>
        <v>0.7575</v>
      </c>
    </row>
    <row r="988">
      <c r="A988" s="82">
        <v>44704.0</v>
      </c>
      <c r="B988" s="82">
        <v>44704.0</v>
      </c>
      <c r="C988" s="66">
        <v>2369.0</v>
      </c>
      <c r="D988" s="66" t="s">
        <v>203</v>
      </c>
      <c r="E988" s="66">
        <v>1.0</v>
      </c>
      <c r="F988" s="66" t="s">
        <v>204</v>
      </c>
      <c r="G988" s="66">
        <f t="shared" si="11"/>
        <v>0</v>
      </c>
      <c r="H988" s="66">
        <v>25.7017</v>
      </c>
      <c r="I988" s="66">
        <v>26.3123</v>
      </c>
      <c r="J988" s="66">
        <v>26.0376</v>
      </c>
      <c r="K988" s="81">
        <f t="shared" si="2"/>
        <v>0.6106</v>
      </c>
      <c r="L988" s="81">
        <f t="shared" si="3"/>
        <v>0.3359</v>
      </c>
    </row>
    <row r="989">
      <c r="A989" s="82">
        <v>44704.0</v>
      </c>
      <c r="B989" s="82">
        <v>44704.0</v>
      </c>
      <c r="C989" s="66">
        <v>2371.0</v>
      </c>
      <c r="D989" s="66" t="s">
        <v>203</v>
      </c>
      <c r="E989" s="66">
        <v>0.0</v>
      </c>
      <c r="F989" s="66" t="s">
        <v>205</v>
      </c>
      <c r="G989" s="66">
        <f t="shared" si="11"/>
        <v>0</v>
      </c>
      <c r="H989" s="66">
        <v>25.8399</v>
      </c>
      <c r="I989" s="66">
        <v>28.7426</v>
      </c>
      <c r="J989" s="66">
        <v>27.0955</v>
      </c>
      <c r="K989" s="81">
        <f t="shared" si="2"/>
        <v>2.9027</v>
      </c>
      <c r="L989" s="81">
        <f t="shared" si="3"/>
        <v>1.2556</v>
      </c>
    </row>
    <row r="990">
      <c r="A990" s="82">
        <v>44704.0</v>
      </c>
      <c r="B990" s="82">
        <v>44704.0</v>
      </c>
      <c r="C990" s="66">
        <v>2360.0</v>
      </c>
      <c r="D990" s="66" t="s">
        <v>203</v>
      </c>
      <c r="E990" s="66">
        <v>1.0</v>
      </c>
      <c r="F990" s="66" t="s">
        <v>204</v>
      </c>
      <c r="G990" s="66">
        <f t="shared" si="11"/>
        <v>0</v>
      </c>
      <c r="H990" s="66">
        <v>25.5525</v>
      </c>
      <c r="I990" s="66">
        <v>26.1896</v>
      </c>
      <c r="J990" s="66">
        <v>26.0294</v>
      </c>
      <c r="K990" s="81">
        <f t="shared" si="2"/>
        <v>0.6371</v>
      </c>
      <c r="L990" s="81">
        <f t="shared" si="3"/>
        <v>0.4769</v>
      </c>
    </row>
    <row r="991">
      <c r="A991" s="82">
        <v>44704.0</v>
      </c>
      <c r="B991" s="82">
        <v>44704.0</v>
      </c>
      <c r="C991" s="66">
        <v>2372.0</v>
      </c>
      <c r="D991" s="66" t="s">
        <v>203</v>
      </c>
      <c r="E991" s="66">
        <v>0.0</v>
      </c>
      <c r="F991" s="66" t="s">
        <v>205</v>
      </c>
      <c r="G991" s="66">
        <f t="shared" si="11"/>
        <v>0</v>
      </c>
      <c r="H991" s="66">
        <v>26.0829</v>
      </c>
      <c r="I991" s="66">
        <v>28.697</v>
      </c>
      <c r="J991" s="66">
        <v>27.471</v>
      </c>
      <c r="K991" s="81">
        <f t="shared" si="2"/>
        <v>2.6141</v>
      </c>
      <c r="L991" s="81">
        <f t="shared" si="3"/>
        <v>1.3881</v>
      </c>
    </row>
    <row r="992">
      <c r="A992" s="82">
        <v>44704.0</v>
      </c>
      <c r="B992" s="82">
        <v>44704.0</v>
      </c>
      <c r="C992" s="66">
        <v>2009.0</v>
      </c>
      <c r="D992" s="66" t="s">
        <v>203</v>
      </c>
      <c r="E992" s="66">
        <v>0.0</v>
      </c>
      <c r="F992" s="66" t="s">
        <v>205</v>
      </c>
      <c r="G992" s="66">
        <f t="shared" si="11"/>
        <v>0</v>
      </c>
      <c r="H992" s="66">
        <v>26.0542</v>
      </c>
      <c r="I992" s="66">
        <v>27.0048</v>
      </c>
      <c r="J992" s="66">
        <v>26.7522</v>
      </c>
      <c r="K992" s="81">
        <f t="shared" si="2"/>
        <v>0.9506</v>
      </c>
      <c r="L992" s="81">
        <f t="shared" si="3"/>
        <v>0.698</v>
      </c>
    </row>
    <row r="993">
      <c r="A993" s="82">
        <v>44704.0</v>
      </c>
      <c r="B993" s="82">
        <v>44704.0</v>
      </c>
      <c r="C993" s="66">
        <v>2345.0</v>
      </c>
      <c r="D993" s="66" t="s">
        <v>203</v>
      </c>
      <c r="E993" s="66">
        <v>0.0</v>
      </c>
      <c r="F993" s="66" t="s">
        <v>205</v>
      </c>
      <c r="G993" s="66">
        <v>0.0</v>
      </c>
      <c r="H993" s="66">
        <v>15.448</v>
      </c>
      <c r="I993" s="66">
        <v>15.867</v>
      </c>
      <c r="J993" s="66">
        <v>15.6445</v>
      </c>
      <c r="K993" s="81">
        <f t="shared" si="2"/>
        <v>0.419</v>
      </c>
      <c r="L993" s="81">
        <f t="shared" si="3"/>
        <v>0.1965</v>
      </c>
    </row>
    <row r="994">
      <c r="A994" s="82">
        <v>44704.0</v>
      </c>
      <c r="B994" s="82">
        <v>44704.0</v>
      </c>
      <c r="C994" s="66">
        <v>2077.0</v>
      </c>
      <c r="D994" s="66" t="s">
        <v>203</v>
      </c>
      <c r="E994" s="66">
        <v>1.0</v>
      </c>
      <c r="F994" s="66" t="s">
        <v>204</v>
      </c>
      <c r="G994" s="66">
        <f t="shared" ref="G994:G1110" si="12">if(E994="old",1,0)</f>
        <v>0</v>
      </c>
      <c r="H994" s="66">
        <v>26.4011</v>
      </c>
      <c r="I994" s="66">
        <v>26.792</v>
      </c>
      <c r="J994" s="66">
        <v>26.5939</v>
      </c>
      <c r="K994" s="81">
        <f t="shared" si="2"/>
        <v>0.3909</v>
      </c>
      <c r="L994" s="81">
        <f t="shared" si="3"/>
        <v>0.1928</v>
      </c>
    </row>
    <row r="995">
      <c r="A995" s="82">
        <v>44704.0</v>
      </c>
      <c r="B995" s="82">
        <v>44704.0</v>
      </c>
      <c r="C995" s="66">
        <v>2343.0</v>
      </c>
      <c r="D995" s="66" t="s">
        <v>203</v>
      </c>
      <c r="E995" s="66">
        <v>0.0</v>
      </c>
      <c r="F995" s="66" t="s">
        <v>205</v>
      </c>
      <c r="G995" s="66">
        <f t="shared" si="12"/>
        <v>0</v>
      </c>
      <c r="H995" s="66">
        <v>26.0733</v>
      </c>
      <c r="I995" s="66">
        <v>27.3005</v>
      </c>
      <c r="J995" s="66">
        <v>26.8296</v>
      </c>
      <c r="K995" s="81">
        <f t="shared" si="2"/>
        <v>1.2272</v>
      </c>
      <c r="L995" s="81">
        <f t="shared" si="3"/>
        <v>0.7563</v>
      </c>
    </row>
    <row r="996">
      <c r="A996" s="82">
        <v>44704.0</v>
      </c>
      <c r="B996" s="82">
        <v>44704.0</v>
      </c>
      <c r="C996" s="66">
        <v>2378.0</v>
      </c>
      <c r="D996" s="66" t="s">
        <v>203</v>
      </c>
      <c r="E996" s="66">
        <v>0.0</v>
      </c>
      <c r="F996" s="66" t="s">
        <v>204</v>
      </c>
      <c r="G996" s="66">
        <f t="shared" si="12"/>
        <v>0</v>
      </c>
      <c r="H996" s="66">
        <v>25.5695</v>
      </c>
      <c r="I996" s="66">
        <v>26.15</v>
      </c>
      <c r="J996" s="66">
        <v>25.6456</v>
      </c>
      <c r="K996" s="81">
        <f t="shared" si="2"/>
        <v>0.5805</v>
      </c>
      <c r="L996" s="81">
        <f t="shared" si="3"/>
        <v>0.0761</v>
      </c>
    </row>
    <row r="997">
      <c r="A997" s="82">
        <v>44704.0</v>
      </c>
      <c r="B997" s="82">
        <v>44704.0</v>
      </c>
      <c r="C997" s="66">
        <v>2009.0</v>
      </c>
      <c r="D997" s="66" t="s">
        <v>203</v>
      </c>
      <c r="E997" s="66">
        <v>0.0</v>
      </c>
      <c r="F997" s="66" t="s">
        <v>204</v>
      </c>
      <c r="G997" s="66">
        <f t="shared" si="12"/>
        <v>0</v>
      </c>
      <c r="H997" s="66">
        <v>25.7122</v>
      </c>
      <c r="I997" s="66">
        <v>26.3324</v>
      </c>
      <c r="J997" s="66">
        <v>25.7877</v>
      </c>
      <c r="K997" s="81">
        <f t="shared" si="2"/>
        <v>0.6202</v>
      </c>
      <c r="L997" s="81">
        <f t="shared" si="3"/>
        <v>0.0755</v>
      </c>
    </row>
    <row r="998">
      <c r="A998" s="82">
        <v>44704.0</v>
      </c>
      <c r="B998" s="82">
        <v>44704.0</v>
      </c>
      <c r="C998" s="66">
        <v>2383.0</v>
      </c>
      <c r="D998" s="66" t="s">
        <v>203</v>
      </c>
      <c r="E998" s="66">
        <v>0.0</v>
      </c>
      <c r="F998" s="66" t="s">
        <v>204</v>
      </c>
      <c r="G998" s="66">
        <f t="shared" si="12"/>
        <v>0</v>
      </c>
      <c r="H998" s="66">
        <v>26.0972</v>
      </c>
      <c r="I998" s="66">
        <v>26.4404</v>
      </c>
      <c r="J998" s="66">
        <v>26.3989</v>
      </c>
      <c r="K998" s="81">
        <f t="shared" si="2"/>
        <v>0.3432</v>
      </c>
      <c r="L998" s="81">
        <f t="shared" si="3"/>
        <v>0.3017</v>
      </c>
    </row>
    <row r="999">
      <c r="A999" s="82">
        <v>44704.0</v>
      </c>
      <c r="B999" s="82">
        <v>44704.0</v>
      </c>
      <c r="C999" s="66">
        <v>2383.0</v>
      </c>
      <c r="D999" s="66" t="s">
        <v>203</v>
      </c>
      <c r="E999" s="66">
        <v>0.0</v>
      </c>
      <c r="F999" s="66" t="s">
        <v>205</v>
      </c>
      <c r="G999" s="66">
        <f t="shared" si="12"/>
        <v>0</v>
      </c>
      <c r="H999" s="66">
        <v>26.3634</v>
      </c>
      <c r="I999" s="66">
        <v>26.9546</v>
      </c>
      <c r="J999" s="66">
        <v>26.8382</v>
      </c>
      <c r="K999" s="81">
        <f t="shared" si="2"/>
        <v>0.5912</v>
      </c>
      <c r="L999" s="81">
        <f t="shared" si="3"/>
        <v>0.4748</v>
      </c>
    </row>
    <row r="1000">
      <c r="A1000" s="82">
        <v>44704.0</v>
      </c>
      <c r="B1000" s="82">
        <v>44704.0</v>
      </c>
      <c r="C1000" s="66">
        <v>2301.0</v>
      </c>
      <c r="D1000" s="66" t="s">
        <v>203</v>
      </c>
      <c r="E1000" s="66">
        <v>0.0</v>
      </c>
      <c r="F1000" s="66" t="s">
        <v>205</v>
      </c>
      <c r="G1000" s="66">
        <f t="shared" si="12"/>
        <v>0</v>
      </c>
      <c r="H1000" s="66">
        <v>26.0662</v>
      </c>
      <c r="I1000" s="66">
        <v>28.0758</v>
      </c>
      <c r="J1000" s="66">
        <v>27.251</v>
      </c>
      <c r="K1000" s="81">
        <f t="shared" si="2"/>
        <v>2.0096</v>
      </c>
      <c r="L1000" s="81">
        <f t="shared" si="3"/>
        <v>1.1848</v>
      </c>
    </row>
    <row r="1001">
      <c r="A1001" s="82">
        <v>44704.0</v>
      </c>
      <c r="B1001" s="82">
        <v>44704.0</v>
      </c>
      <c r="C1001" s="66">
        <v>2380.0</v>
      </c>
      <c r="D1001" s="66" t="s">
        <v>203</v>
      </c>
      <c r="E1001" s="66">
        <v>1.0</v>
      </c>
      <c r="F1001" s="66" t="s">
        <v>204</v>
      </c>
      <c r="G1001" s="66">
        <f t="shared" si="12"/>
        <v>0</v>
      </c>
      <c r="H1001" s="66">
        <v>25.8784</v>
      </c>
      <c r="I1001" s="66">
        <v>25.9617</v>
      </c>
      <c r="J1001" s="66">
        <v>26.0768</v>
      </c>
      <c r="K1001" s="81">
        <f t="shared" si="2"/>
        <v>0.0833</v>
      </c>
      <c r="L1001" s="81">
        <f t="shared" si="3"/>
        <v>0.1984</v>
      </c>
    </row>
    <row r="1002">
      <c r="A1002" s="82">
        <v>44704.0</v>
      </c>
      <c r="B1002" s="82">
        <v>44704.0</v>
      </c>
      <c r="C1002" s="66">
        <v>2377.0</v>
      </c>
      <c r="D1002" s="66" t="s">
        <v>203</v>
      </c>
      <c r="E1002" s="66">
        <v>1.0</v>
      </c>
      <c r="F1002" s="66" t="s">
        <v>205</v>
      </c>
      <c r="G1002" s="66">
        <f t="shared" si="12"/>
        <v>0</v>
      </c>
      <c r="H1002" s="66">
        <v>25.8898</v>
      </c>
      <c r="I1002" s="66">
        <v>27.0924</v>
      </c>
      <c r="J1002" s="66">
        <v>26.8163</v>
      </c>
      <c r="K1002" s="81">
        <f t="shared" si="2"/>
        <v>1.2026</v>
      </c>
      <c r="L1002" s="81">
        <f t="shared" si="3"/>
        <v>0.9265</v>
      </c>
    </row>
    <row r="1003">
      <c r="A1003" s="82">
        <v>44704.0</v>
      </c>
      <c r="B1003" s="82">
        <v>44704.0</v>
      </c>
      <c r="C1003" s="66">
        <v>2345.0</v>
      </c>
      <c r="D1003" s="66" t="s">
        <v>203</v>
      </c>
      <c r="E1003" s="66">
        <v>1.0</v>
      </c>
      <c r="F1003" s="66" t="s">
        <v>205</v>
      </c>
      <c r="G1003" s="66">
        <f t="shared" si="12"/>
        <v>0</v>
      </c>
      <c r="H1003" s="66">
        <v>14.741</v>
      </c>
      <c r="I1003" s="66">
        <v>15.6854</v>
      </c>
      <c r="J1003" s="66">
        <v>15.2621</v>
      </c>
      <c r="K1003" s="81">
        <f t="shared" si="2"/>
        <v>0.9444</v>
      </c>
      <c r="L1003" s="81">
        <f t="shared" si="3"/>
        <v>0.5211</v>
      </c>
    </row>
    <row r="1004">
      <c r="A1004" s="82">
        <v>44704.0</v>
      </c>
      <c r="B1004" s="82">
        <v>44704.0</v>
      </c>
      <c r="C1004" s="66">
        <v>2070.0</v>
      </c>
      <c r="D1004" s="66" t="s">
        <v>203</v>
      </c>
      <c r="E1004" s="66">
        <v>1.0</v>
      </c>
      <c r="F1004" s="66" t="s">
        <v>204</v>
      </c>
      <c r="G1004" s="66">
        <f t="shared" si="12"/>
        <v>0</v>
      </c>
      <c r="H1004" s="66">
        <v>25.5727</v>
      </c>
      <c r="I1004" s="66">
        <v>25.8682</v>
      </c>
      <c r="J1004" s="66">
        <v>25.7971</v>
      </c>
      <c r="K1004" s="81">
        <f t="shared" si="2"/>
        <v>0.2955</v>
      </c>
      <c r="L1004" s="81">
        <f t="shared" si="3"/>
        <v>0.2244</v>
      </c>
    </row>
    <row r="1005">
      <c r="A1005" s="82">
        <v>44704.0</v>
      </c>
      <c r="B1005" s="82">
        <v>44704.0</v>
      </c>
      <c r="C1005" s="66">
        <v>2384.0</v>
      </c>
      <c r="D1005" s="66" t="s">
        <v>203</v>
      </c>
      <c r="E1005" s="66">
        <v>1.0</v>
      </c>
      <c r="F1005" s="66" t="s">
        <v>204</v>
      </c>
      <c r="G1005" s="66">
        <f t="shared" si="12"/>
        <v>0</v>
      </c>
      <c r="H1005" s="66">
        <v>25.6721</v>
      </c>
      <c r="I1005" s="66">
        <v>26.0823</v>
      </c>
      <c r="J1005" s="66">
        <v>25.8729</v>
      </c>
      <c r="K1005" s="81">
        <f t="shared" si="2"/>
        <v>0.4102</v>
      </c>
      <c r="L1005" s="81">
        <f t="shared" si="3"/>
        <v>0.2008</v>
      </c>
    </row>
    <row r="1006">
      <c r="A1006" s="82">
        <v>44704.0</v>
      </c>
      <c r="B1006" s="82">
        <v>44704.0</v>
      </c>
      <c r="C1006" s="66">
        <v>2331.0</v>
      </c>
      <c r="D1006" s="66" t="s">
        <v>203</v>
      </c>
      <c r="E1006" s="66">
        <v>0.0</v>
      </c>
      <c r="F1006" s="66" t="s">
        <v>204</v>
      </c>
      <c r="G1006" s="66">
        <f t="shared" si="12"/>
        <v>0</v>
      </c>
      <c r="H1006" s="66">
        <v>7.331</v>
      </c>
      <c r="I1006" s="66">
        <v>7.4206</v>
      </c>
      <c r="J1006" s="66">
        <v>7.3878</v>
      </c>
      <c r="K1006" s="81">
        <f t="shared" si="2"/>
        <v>0.0896</v>
      </c>
      <c r="L1006" s="81">
        <f t="shared" si="3"/>
        <v>0.0568</v>
      </c>
    </row>
    <row r="1007">
      <c r="A1007" s="82">
        <v>44704.0</v>
      </c>
      <c r="B1007" s="82">
        <v>44704.0</v>
      </c>
      <c r="C1007" s="66">
        <v>2372.0</v>
      </c>
      <c r="D1007" s="66" t="s">
        <v>203</v>
      </c>
      <c r="E1007" s="66">
        <v>0.0</v>
      </c>
      <c r="F1007" s="66" t="s">
        <v>204</v>
      </c>
      <c r="G1007" s="66">
        <f t="shared" si="12"/>
        <v>0</v>
      </c>
      <c r="H1007" s="66">
        <v>6.255</v>
      </c>
      <c r="I1007" s="66">
        <v>6.5954</v>
      </c>
      <c r="J1007" s="66">
        <v>6.429</v>
      </c>
      <c r="K1007" s="81">
        <f t="shared" si="2"/>
        <v>0.3404</v>
      </c>
      <c r="L1007" s="81">
        <f t="shared" si="3"/>
        <v>0.174</v>
      </c>
    </row>
    <row r="1008">
      <c r="A1008" s="82">
        <v>44704.0</v>
      </c>
      <c r="B1008" s="82">
        <v>44704.0</v>
      </c>
      <c r="C1008" s="66">
        <v>2375.0</v>
      </c>
      <c r="D1008" s="66" t="s">
        <v>203</v>
      </c>
      <c r="E1008" s="66">
        <v>1.0</v>
      </c>
      <c r="F1008" s="66" t="s">
        <v>204</v>
      </c>
      <c r="G1008" s="66">
        <f t="shared" si="12"/>
        <v>0</v>
      </c>
      <c r="H1008" s="66">
        <v>7.2911</v>
      </c>
      <c r="I1008" s="66">
        <v>7.5998</v>
      </c>
      <c r="J1008" s="66">
        <v>7.4727</v>
      </c>
      <c r="K1008" s="81">
        <f t="shared" si="2"/>
        <v>0.3087</v>
      </c>
      <c r="L1008" s="81">
        <f t="shared" si="3"/>
        <v>0.1816</v>
      </c>
    </row>
    <row r="1009">
      <c r="A1009" s="82">
        <v>44704.0</v>
      </c>
      <c r="B1009" s="82">
        <v>44704.0</v>
      </c>
      <c r="C1009" s="66">
        <v>2360.0</v>
      </c>
      <c r="D1009" s="66" t="s">
        <v>203</v>
      </c>
      <c r="E1009" s="66">
        <v>1.0</v>
      </c>
      <c r="F1009" s="66" t="s">
        <v>204</v>
      </c>
      <c r="G1009" s="66">
        <f t="shared" si="12"/>
        <v>0</v>
      </c>
      <c r="H1009" s="66">
        <v>6.2563</v>
      </c>
      <c r="I1009" s="66">
        <v>6.4792</v>
      </c>
      <c r="J1009" s="66">
        <v>6.4037</v>
      </c>
      <c r="K1009" s="81">
        <f t="shared" si="2"/>
        <v>0.2229</v>
      </c>
      <c r="L1009" s="81">
        <f t="shared" si="3"/>
        <v>0.1474</v>
      </c>
    </row>
    <row r="1010">
      <c r="A1010" s="82">
        <v>44704.0</v>
      </c>
      <c r="B1010" s="82">
        <v>44704.0</v>
      </c>
      <c r="C1010" s="66">
        <v>2381.0</v>
      </c>
      <c r="D1010" s="66" t="s">
        <v>203</v>
      </c>
      <c r="E1010" s="66">
        <v>1.0</v>
      </c>
      <c r="F1010" s="66" t="s">
        <v>204</v>
      </c>
      <c r="G1010" s="66">
        <f t="shared" si="12"/>
        <v>0</v>
      </c>
      <c r="H1010" s="66">
        <v>7.2897</v>
      </c>
      <c r="I1010" s="66">
        <v>7.4468</v>
      </c>
      <c r="J1010" s="66">
        <v>7.3823</v>
      </c>
      <c r="K1010" s="81">
        <f t="shared" si="2"/>
        <v>0.1571</v>
      </c>
      <c r="L1010" s="81">
        <f t="shared" si="3"/>
        <v>0.0926</v>
      </c>
    </row>
    <row r="1011">
      <c r="A1011" s="82">
        <v>44704.0</v>
      </c>
      <c r="B1011" s="82">
        <v>44704.0</v>
      </c>
      <c r="C1011" s="66">
        <v>2367.0</v>
      </c>
      <c r="D1011" s="66" t="s">
        <v>203</v>
      </c>
      <c r="E1011" s="66">
        <v>1.0</v>
      </c>
      <c r="F1011" s="66" t="s">
        <v>204</v>
      </c>
      <c r="G1011" s="66">
        <f t="shared" si="12"/>
        <v>0</v>
      </c>
      <c r="H1011" s="66">
        <v>7.4128</v>
      </c>
      <c r="I1011" s="66">
        <v>7.5781</v>
      </c>
      <c r="J1011" s="66">
        <v>7.519</v>
      </c>
      <c r="K1011" s="81">
        <f t="shared" si="2"/>
        <v>0.1653</v>
      </c>
      <c r="L1011" s="81">
        <f t="shared" si="3"/>
        <v>0.1062</v>
      </c>
    </row>
    <row r="1012">
      <c r="A1012" s="82">
        <v>44704.0</v>
      </c>
      <c r="B1012" s="82">
        <v>44704.0</v>
      </c>
      <c r="C1012" s="66">
        <v>2370.0</v>
      </c>
      <c r="D1012" s="66" t="s">
        <v>203</v>
      </c>
      <c r="E1012" s="66">
        <v>1.0</v>
      </c>
      <c r="F1012" s="66" t="s">
        <v>204</v>
      </c>
      <c r="G1012" s="66">
        <f t="shared" si="12"/>
        <v>0</v>
      </c>
      <c r="H1012" s="66">
        <v>7.3331</v>
      </c>
      <c r="I1012" s="66">
        <v>7.9116</v>
      </c>
      <c r="J1012" s="66">
        <v>7.6768</v>
      </c>
      <c r="K1012" s="81">
        <f t="shared" si="2"/>
        <v>0.5785</v>
      </c>
      <c r="L1012" s="81">
        <f t="shared" si="3"/>
        <v>0.3437</v>
      </c>
    </row>
    <row r="1013">
      <c r="A1013" s="82">
        <v>44704.0</v>
      </c>
      <c r="B1013" s="82">
        <v>44704.0</v>
      </c>
      <c r="C1013" s="66">
        <v>2381.0</v>
      </c>
      <c r="D1013" s="66" t="s">
        <v>203</v>
      </c>
      <c r="E1013" s="66">
        <v>0.0</v>
      </c>
      <c r="F1013" s="66" t="s">
        <v>204</v>
      </c>
      <c r="G1013" s="66">
        <f t="shared" si="12"/>
        <v>0</v>
      </c>
      <c r="H1013" s="66">
        <v>6.2878</v>
      </c>
      <c r="I1013" s="66">
        <v>6.4828</v>
      </c>
      <c r="J1013" s="66">
        <v>6.3977</v>
      </c>
      <c r="K1013" s="81">
        <f t="shared" si="2"/>
        <v>0.195</v>
      </c>
      <c r="L1013" s="81">
        <f t="shared" si="3"/>
        <v>0.1099</v>
      </c>
    </row>
    <row r="1014">
      <c r="A1014" s="82">
        <v>44704.0</v>
      </c>
      <c r="B1014" s="82">
        <v>44704.0</v>
      </c>
      <c r="C1014" s="66">
        <v>2354.0</v>
      </c>
      <c r="D1014" s="66" t="s">
        <v>203</v>
      </c>
      <c r="E1014" s="66">
        <v>1.0</v>
      </c>
      <c r="F1014" s="66" t="s">
        <v>204</v>
      </c>
      <c r="G1014" s="66">
        <f t="shared" si="12"/>
        <v>0</v>
      </c>
      <c r="H1014" s="66">
        <v>7.3374</v>
      </c>
      <c r="I1014" s="66">
        <v>7.6202</v>
      </c>
      <c r="J1014" s="66">
        <v>7.5094</v>
      </c>
      <c r="K1014" s="81">
        <f t="shared" si="2"/>
        <v>0.2828</v>
      </c>
      <c r="L1014" s="81">
        <f t="shared" si="3"/>
        <v>0.172</v>
      </c>
    </row>
    <row r="1015">
      <c r="A1015" s="82">
        <v>44704.0</v>
      </c>
      <c r="B1015" s="82">
        <v>44704.0</v>
      </c>
      <c r="C1015" s="66">
        <v>2347.0</v>
      </c>
      <c r="D1015" s="66" t="s">
        <v>203</v>
      </c>
      <c r="E1015" s="66">
        <v>0.0</v>
      </c>
      <c r="F1015" s="66" t="s">
        <v>204</v>
      </c>
      <c r="G1015" s="66">
        <f t="shared" si="12"/>
        <v>0</v>
      </c>
      <c r="H1015" s="66">
        <v>7.3423</v>
      </c>
      <c r="I1015" s="66">
        <v>7.5574</v>
      </c>
      <c r="J1015" s="66">
        <v>7.4611</v>
      </c>
      <c r="K1015" s="81">
        <f t="shared" si="2"/>
        <v>0.2151</v>
      </c>
      <c r="L1015" s="81">
        <f t="shared" si="3"/>
        <v>0.1188</v>
      </c>
    </row>
    <row r="1016">
      <c r="A1016" s="82">
        <v>44704.0</v>
      </c>
      <c r="B1016" s="82">
        <v>44704.0</v>
      </c>
      <c r="C1016" s="66">
        <v>2379.0</v>
      </c>
      <c r="D1016" s="66" t="s">
        <v>203</v>
      </c>
      <c r="E1016" s="66">
        <v>0.0</v>
      </c>
      <c r="F1016" s="66" t="s">
        <v>204</v>
      </c>
      <c r="G1016" s="66">
        <f t="shared" si="12"/>
        <v>0</v>
      </c>
      <c r="H1016" s="66">
        <v>7.2215</v>
      </c>
      <c r="I1016" s="66">
        <v>7.2755</v>
      </c>
      <c r="J1016" s="66">
        <v>7.2574</v>
      </c>
      <c r="K1016" s="81">
        <f t="shared" si="2"/>
        <v>0.054</v>
      </c>
      <c r="L1016" s="81">
        <f t="shared" si="3"/>
        <v>0.0359</v>
      </c>
    </row>
    <row r="1017">
      <c r="A1017" s="82">
        <v>44704.0</v>
      </c>
      <c r="B1017" s="82">
        <v>44704.0</v>
      </c>
      <c r="C1017" s="66">
        <v>2372.0</v>
      </c>
      <c r="D1017" s="66" t="s">
        <v>203</v>
      </c>
      <c r="E1017" s="66">
        <v>1.0</v>
      </c>
      <c r="F1017" s="66" t="s">
        <v>204</v>
      </c>
      <c r="G1017" s="66">
        <f t="shared" si="12"/>
        <v>0</v>
      </c>
      <c r="H1017" s="66">
        <v>7.3043</v>
      </c>
      <c r="I1017" s="66">
        <v>7.8716</v>
      </c>
      <c r="J1017" s="66">
        <v>7.6591</v>
      </c>
      <c r="K1017" s="81">
        <f t="shared" si="2"/>
        <v>0.5673</v>
      </c>
      <c r="L1017" s="81">
        <f t="shared" si="3"/>
        <v>0.3548</v>
      </c>
    </row>
    <row r="1018">
      <c r="A1018" s="82">
        <v>44704.0</v>
      </c>
      <c r="B1018" s="82">
        <v>44704.0</v>
      </c>
      <c r="C1018" s="66">
        <v>2301.0</v>
      </c>
      <c r="D1018" s="66" t="s">
        <v>203</v>
      </c>
      <c r="E1018" s="66">
        <v>1.0</v>
      </c>
      <c r="F1018" s="66" t="s">
        <v>204</v>
      </c>
      <c r="G1018" s="66">
        <f t="shared" si="12"/>
        <v>0</v>
      </c>
      <c r="H1018" s="66">
        <v>7.2911</v>
      </c>
      <c r="I1018" s="66">
        <v>7.5317</v>
      </c>
      <c r="J1018" s="66">
        <v>7.4383</v>
      </c>
      <c r="K1018" s="81">
        <f t="shared" si="2"/>
        <v>0.2406</v>
      </c>
      <c r="L1018" s="81">
        <f t="shared" si="3"/>
        <v>0.1472</v>
      </c>
    </row>
    <row r="1019">
      <c r="A1019" s="82">
        <v>44704.0</v>
      </c>
      <c r="B1019" s="82">
        <v>44704.0</v>
      </c>
      <c r="C1019" s="66">
        <v>2365.0</v>
      </c>
      <c r="D1019" s="66" t="s">
        <v>203</v>
      </c>
      <c r="E1019" s="66">
        <v>0.0</v>
      </c>
      <c r="F1019" s="66" t="s">
        <v>204</v>
      </c>
      <c r="G1019" s="66">
        <f t="shared" si="12"/>
        <v>0</v>
      </c>
      <c r="H1019" s="66">
        <v>7.2417</v>
      </c>
      <c r="I1019" s="66">
        <v>7.3414</v>
      </c>
      <c r="J1019" s="66">
        <v>7.3027</v>
      </c>
      <c r="K1019" s="81">
        <f t="shared" si="2"/>
        <v>0.0997</v>
      </c>
      <c r="L1019" s="81">
        <f t="shared" si="3"/>
        <v>0.061</v>
      </c>
    </row>
    <row r="1020">
      <c r="A1020" s="82">
        <v>44704.0</v>
      </c>
      <c r="B1020" s="82">
        <v>44704.0</v>
      </c>
      <c r="C1020" s="66">
        <v>2360.0</v>
      </c>
      <c r="D1020" s="66" t="s">
        <v>203</v>
      </c>
      <c r="E1020" s="66">
        <v>0.0</v>
      </c>
      <c r="F1020" s="66" t="s">
        <v>204</v>
      </c>
      <c r="G1020" s="66">
        <f t="shared" si="12"/>
        <v>0</v>
      </c>
      <c r="H1020" s="66">
        <v>7.3107</v>
      </c>
      <c r="I1020" s="66">
        <v>7.5225</v>
      </c>
      <c r="J1020" s="66">
        <v>7.4392</v>
      </c>
      <c r="K1020" s="81">
        <f t="shared" si="2"/>
        <v>0.2118</v>
      </c>
      <c r="L1020" s="81">
        <f t="shared" si="3"/>
        <v>0.1285</v>
      </c>
      <c r="M1020" s="66">
        <v>2.1</v>
      </c>
    </row>
    <row r="1021">
      <c r="A1021" s="82">
        <v>44704.0</v>
      </c>
      <c r="B1021" s="82">
        <v>44704.0</v>
      </c>
      <c r="C1021" s="66">
        <v>2347.0</v>
      </c>
      <c r="D1021" s="66" t="s">
        <v>203</v>
      </c>
      <c r="E1021" s="66">
        <v>1.0</v>
      </c>
      <c r="F1021" s="66" t="s">
        <v>204</v>
      </c>
      <c r="G1021" s="66">
        <f t="shared" si="12"/>
        <v>0</v>
      </c>
      <c r="H1021" s="66">
        <v>7.2358</v>
      </c>
      <c r="I1021" s="66">
        <v>7.7623</v>
      </c>
      <c r="J1021" s="66">
        <v>7.552</v>
      </c>
      <c r="K1021" s="81">
        <f t="shared" si="2"/>
        <v>0.5265</v>
      </c>
      <c r="L1021" s="81">
        <f t="shared" si="3"/>
        <v>0.3162</v>
      </c>
      <c r="M1021" s="66">
        <v>2.2</v>
      </c>
    </row>
    <row r="1022">
      <c r="A1022" s="82">
        <v>44704.0</v>
      </c>
      <c r="B1022" s="82">
        <v>44704.0</v>
      </c>
      <c r="C1022" s="66">
        <v>2345.0</v>
      </c>
      <c r="D1022" s="66" t="s">
        <v>203</v>
      </c>
      <c r="E1022" s="66">
        <v>0.0</v>
      </c>
      <c r="F1022" s="66" t="s">
        <v>204</v>
      </c>
      <c r="G1022" s="66">
        <f t="shared" si="12"/>
        <v>0</v>
      </c>
      <c r="H1022" s="66">
        <v>6.3034</v>
      </c>
      <c r="I1022" s="66">
        <v>6.3216</v>
      </c>
      <c r="J1022" s="66">
        <v>6.3114</v>
      </c>
      <c r="K1022" s="81">
        <f t="shared" si="2"/>
        <v>0.0182</v>
      </c>
      <c r="L1022" s="81">
        <f t="shared" si="3"/>
        <v>0.008</v>
      </c>
      <c r="M1022" s="66">
        <v>5.0</v>
      </c>
    </row>
    <row r="1023">
      <c r="A1023" s="82">
        <v>44704.0</v>
      </c>
      <c r="B1023" s="82">
        <v>44704.0</v>
      </c>
      <c r="C1023" s="66">
        <v>2379.0</v>
      </c>
      <c r="D1023" s="66" t="s">
        <v>203</v>
      </c>
      <c r="E1023" s="66">
        <v>1.0</v>
      </c>
      <c r="F1023" s="66" t="s">
        <v>204</v>
      </c>
      <c r="G1023" s="66">
        <f t="shared" si="12"/>
        <v>0</v>
      </c>
      <c r="H1023" s="66">
        <v>7.3908</v>
      </c>
      <c r="I1023" s="66">
        <v>7.6098</v>
      </c>
      <c r="J1023" s="66">
        <v>7.5285</v>
      </c>
      <c r="K1023" s="81">
        <f t="shared" si="2"/>
        <v>0.219</v>
      </c>
      <c r="L1023" s="81">
        <f t="shared" si="3"/>
        <v>0.1377</v>
      </c>
      <c r="M1023" s="66">
        <v>4.0</v>
      </c>
    </row>
    <row r="1024">
      <c r="A1024" s="82">
        <v>44704.0</v>
      </c>
      <c r="B1024" s="82">
        <v>44704.0</v>
      </c>
      <c r="C1024" s="66">
        <v>2367.0</v>
      </c>
      <c r="D1024" s="66" t="s">
        <v>203</v>
      </c>
      <c r="E1024" s="66">
        <v>0.0</v>
      </c>
      <c r="F1024" s="66" t="s">
        <v>204</v>
      </c>
      <c r="G1024" s="66">
        <f t="shared" si="12"/>
        <v>0</v>
      </c>
      <c r="H1024" s="66">
        <v>7.2511</v>
      </c>
      <c r="I1024" s="66">
        <v>7.2907</v>
      </c>
      <c r="J1024" s="66">
        <v>7.2776</v>
      </c>
      <c r="K1024" s="81">
        <f t="shared" si="2"/>
        <v>0.0396</v>
      </c>
      <c r="L1024" s="81">
        <f t="shared" si="3"/>
        <v>0.0265</v>
      </c>
      <c r="M1024" s="66">
        <v>3.0</v>
      </c>
    </row>
    <row r="1025">
      <c r="A1025" s="82">
        <v>44704.0</v>
      </c>
      <c r="B1025" s="82">
        <v>44704.0</v>
      </c>
      <c r="C1025" s="66">
        <v>2346.0</v>
      </c>
      <c r="D1025" s="66" t="s">
        <v>203</v>
      </c>
      <c r="E1025" s="66">
        <v>0.0</v>
      </c>
      <c r="F1025" s="66" t="s">
        <v>204</v>
      </c>
      <c r="G1025" s="66">
        <f t="shared" si="12"/>
        <v>0</v>
      </c>
      <c r="H1025" s="66">
        <v>7.2163</v>
      </c>
      <c r="I1025" s="66">
        <v>7.3068</v>
      </c>
      <c r="J1025" s="66">
        <v>7.277</v>
      </c>
      <c r="K1025" s="81">
        <f t="shared" si="2"/>
        <v>0.0905</v>
      </c>
      <c r="L1025" s="81">
        <f t="shared" si="3"/>
        <v>0.0607</v>
      </c>
    </row>
    <row r="1026">
      <c r="A1026" s="82">
        <v>44704.0</v>
      </c>
      <c r="B1026" s="82">
        <v>44704.0</v>
      </c>
      <c r="C1026" s="66">
        <v>2365.0</v>
      </c>
      <c r="D1026" s="66" t="s">
        <v>203</v>
      </c>
      <c r="E1026" s="66">
        <v>1.0</v>
      </c>
      <c r="F1026" s="66" t="s">
        <v>204</v>
      </c>
      <c r="G1026" s="66">
        <f t="shared" si="12"/>
        <v>0</v>
      </c>
      <c r="H1026" s="66">
        <v>6.2598</v>
      </c>
      <c r="I1026" s="66">
        <v>6.5413</v>
      </c>
      <c r="J1026" s="66">
        <v>6.4329</v>
      </c>
      <c r="K1026" s="81">
        <f t="shared" si="2"/>
        <v>0.2815</v>
      </c>
      <c r="L1026" s="81">
        <f t="shared" si="3"/>
        <v>0.1731</v>
      </c>
      <c r="M1026" s="66">
        <v>5.0</v>
      </c>
    </row>
    <row r="1027">
      <c r="A1027" s="82">
        <v>44704.0</v>
      </c>
      <c r="B1027" s="82">
        <v>44704.0</v>
      </c>
      <c r="C1027" s="66">
        <v>2371.0</v>
      </c>
      <c r="D1027" s="66" t="s">
        <v>203</v>
      </c>
      <c r="E1027" s="66">
        <v>0.0</v>
      </c>
      <c r="F1027" s="66" t="s">
        <v>204</v>
      </c>
      <c r="G1027" s="66">
        <f t="shared" si="12"/>
        <v>0</v>
      </c>
      <c r="H1027" s="66">
        <v>7.21</v>
      </c>
      <c r="I1027" s="66">
        <v>7.594</v>
      </c>
      <c r="J1027" s="66">
        <v>7.4211</v>
      </c>
      <c r="K1027" s="81">
        <f t="shared" si="2"/>
        <v>0.384</v>
      </c>
      <c r="L1027" s="81">
        <f t="shared" si="3"/>
        <v>0.2111</v>
      </c>
      <c r="M1027" s="66">
        <v>4.0</v>
      </c>
    </row>
    <row r="1028">
      <c r="A1028" s="82">
        <v>44704.0</v>
      </c>
      <c r="B1028" s="82">
        <v>44704.0</v>
      </c>
      <c r="C1028" s="66">
        <v>2377.0</v>
      </c>
      <c r="D1028" s="66" t="s">
        <v>203</v>
      </c>
      <c r="E1028" s="66">
        <v>1.0</v>
      </c>
      <c r="F1028" s="66" t="s">
        <v>204</v>
      </c>
      <c r="G1028" s="66">
        <f t="shared" si="12"/>
        <v>0</v>
      </c>
      <c r="H1028" s="66">
        <v>6.2208</v>
      </c>
      <c r="I1028" s="66">
        <v>6.4348</v>
      </c>
      <c r="J1028" s="66">
        <v>6.3528</v>
      </c>
      <c r="K1028" s="81">
        <f t="shared" si="2"/>
        <v>0.214</v>
      </c>
      <c r="L1028" s="81">
        <f t="shared" si="3"/>
        <v>0.132</v>
      </c>
      <c r="M1028" s="66">
        <v>1.0</v>
      </c>
    </row>
    <row r="1029">
      <c r="A1029" s="82">
        <v>44704.0</v>
      </c>
      <c r="B1029" s="82">
        <v>44704.0</v>
      </c>
      <c r="C1029" s="66">
        <v>2331.0</v>
      </c>
      <c r="D1029" s="66" t="s">
        <v>203</v>
      </c>
      <c r="E1029" s="66">
        <v>1.0</v>
      </c>
      <c r="F1029" s="66" t="s">
        <v>204</v>
      </c>
      <c r="G1029" s="66">
        <f t="shared" si="12"/>
        <v>0</v>
      </c>
      <c r="H1029" s="66">
        <v>7.3331</v>
      </c>
      <c r="I1029" s="66">
        <v>7.7136</v>
      </c>
      <c r="J1029" s="66">
        <v>7.5693</v>
      </c>
      <c r="K1029" s="81">
        <f t="shared" si="2"/>
        <v>0.3805</v>
      </c>
      <c r="L1029" s="81">
        <f t="shared" si="3"/>
        <v>0.2362</v>
      </c>
      <c r="M1029" s="66">
        <v>4.0</v>
      </c>
    </row>
    <row r="1030">
      <c r="A1030" s="82">
        <v>44704.0</v>
      </c>
      <c r="B1030" s="82">
        <v>44704.0</v>
      </c>
      <c r="C1030" s="66">
        <v>2346.0</v>
      </c>
      <c r="D1030" s="66" t="s">
        <v>203</v>
      </c>
      <c r="E1030" s="66">
        <v>1.0</v>
      </c>
      <c r="F1030" s="66" t="s">
        <v>204</v>
      </c>
      <c r="G1030" s="66">
        <f t="shared" si="12"/>
        <v>0</v>
      </c>
      <c r="H1030" s="66">
        <v>7.266</v>
      </c>
      <c r="I1030" s="66">
        <v>7.8211</v>
      </c>
      <c r="J1030" s="66">
        <v>7.6139</v>
      </c>
      <c r="K1030" s="81">
        <f t="shared" si="2"/>
        <v>0.5551</v>
      </c>
      <c r="L1030" s="81">
        <f t="shared" si="3"/>
        <v>0.3479</v>
      </c>
      <c r="M1030" s="66">
        <v>4.0</v>
      </c>
    </row>
    <row r="1031">
      <c r="A1031" s="82">
        <v>44704.0</v>
      </c>
      <c r="B1031" s="82">
        <v>44704.0</v>
      </c>
      <c r="C1031" s="66">
        <v>2370.0</v>
      </c>
      <c r="D1031" s="66" t="s">
        <v>203</v>
      </c>
      <c r="E1031" s="66">
        <v>0.0</v>
      </c>
      <c r="F1031" s="66" t="s">
        <v>204</v>
      </c>
      <c r="G1031" s="66">
        <f t="shared" si="12"/>
        <v>0</v>
      </c>
      <c r="H1031" s="66">
        <v>7.3411</v>
      </c>
      <c r="I1031" s="66">
        <v>7.4919</v>
      </c>
      <c r="J1031" s="66">
        <v>7.4293</v>
      </c>
      <c r="K1031" s="81">
        <f t="shared" si="2"/>
        <v>0.1508</v>
      </c>
      <c r="L1031" s="81">
        <f t="shared" si="3"/>
        <v>0.0882</v>
      </c>
      <c r="M1031" s="66">
        <v>1.0</v>
      </c>
    </row>
    <row r="1032">
      <c r="A1032" s="82">
        <v>44704.0</v>
      </c>
      <c r="B1032" s="82">
        <v>44704.0</v>
      </c>
      <c r="C1032" s="66">
        <v>2345.0</v>
      </c>
      <c r="D1032" s="66" t="s">
        <v>203</v>
      </c>
      <c r="E1032" s="66">
        <v>1.0</v>
      </c>
      <c r="F1032" s="66" t="s">
        <v>204</v>
      </c>
      <c r="G1032" s="66">
        <f t="shared" si="12"/>
        <v>0</v>
      </c>
      <c r="H1032" s="66">
        <v>6.2382</v>
      </c>
      <c r="I1032" s="66">
        <v>6.4747</v>
      </c>
      <c r="J1032" s="66">
        <v>7.377</v>
      </c>
      <c r="K1032" s="81">
        <f t="shared" si="2"/>
        <v>0.2365</v>
      </c>
      <c r="L1032" s="81">
        <f t="shared" si="3"/>
        <v>1.1388</v>
      </c>
    </row>
    <row r="1033">
      <c r="A1033" s="82">
        <v>44704.0</v>
      </c>
      <c r="B1033" s="82">
        <v>44704.0</v>
      </c>
      <c r="C1033" s="66">
        <v>2375.0</v>
      </c>
      <c r="D1033" s="66" t="s">
        <v>203</v>
      </c>
      <c r="E1033" s="66">
        <v>0.0</v>
      </c>
      <c r="F1033" s="66" t="s">
        <v>204</v>
      </c>
      <c r="G1033" s="66">
        <f t="shared" si="12"/>
        <v>0</v>
      </c>
      <c r="H1033" s="66">
        <v>7.3076</v>
      </c>
      <c r="I1033" s="66">
        <v>7.4998</v>
      </c>
      <c r="J1033" s="66">
        <v>7.4161</v>
      </c>
      <c r="K1033" s="81">
        <f t="shared" si="2"/>
        <v>0.1922</v>
      </c>
      <c r="L1033" s="81">
        <f t="shared" si="3"/>
        <v>0.1085</v>
      </c>
      <c r="M1033" s="66">
        <v>2.2</v>
      </c>
    </row>
    <row r="1034">
      <c r="A1034" s="82">
        <v>44704.0</v>
      </c>
      <c r="B1034" s="82">
        <v>44704.0</v>
      </c>
      <c r="C1034" s="66">
        <v>2376.0</v>
      </c>
      <c r="D1034" s="66" t="s">
        <v>203</v>
      </c>
      <c r="E1034" s="66">
        <v>1.0</v>
      </c>
      <c r="F1034" s="66" t="s">
        <v>204</v>
      </c>
      <c r="G1034" s="66">
        <f t="shared" si="12"/>
        <v>0</v>
      </c>
      <c r="H1034" s="66">
        <v>7.2595</v>
      </c>
      <c r="I1034" s="66">
        <v>7.4608</v>
      </c>
      <c r="J1034" s="66">
        <v>7.3918</v>
      </c>
      <c r="K1034" s="81">
        <f t="shared" si="2"/>
        <v>0.2013</v>
      </c>
      <c r="L1034" s="81">
        <f t="shared" si="3"/>
        <v>0.1323</v>
      </c>
      <c r="M1034" s="66">
        <v>2.1</v>
      </c>
    </row>
    <row r="1035">
      <c r="A1035" s="82">
        <v>44704.0</v>
      </c>
      <c r="B1035" s="82">
        <v>44704.0</v>
      </c>
      <c r="C1035" s="66">
        <v>2371.0</v>
      </c>
      <c r="D1035" s="66" t="s">
        <v>203</v>
      </c>
      <c r="E1035" s="66">
        <v>1.0</v>
      </c>
      <c r="F1035" s="66" t="s">
        <v>204</v>
      </c>
      <c r="G1035" s="66">
        <f t="shared" si="12"/>
        <v>0</v>
      </c>
      <c r="H1035" s="66">
        <v>7.2807</v>
      </c>
      <c r="I1035" s="66">
        <v>7.6802</v>
      </c>
      <c r="J1035" s="66">
        <v>7.515</v>
      </c>
      <c r="K1035" s="81">
        <f t="shared" si="2"/>
        <v>0.3995</v>
      </c>
      <c r="L1035" s="81">
        <f t="shared" si="3"/>
        <v>0.2343</v>
      </c>
    </row>
    <row r="1036">
      <c r="A1036" s="82">
        <v>44704.0</v>
      </c>
      <c r="B1036" s="82">
        <v>44704.0</v>
      </c>
      <c r="C1036" s="66">
        <v>2029.0</v>
      </c>
      <c r="D1036" s="66" t="s">
        <v>198</v>
      </c>
      <c r="E1036" s="66">
        <v>0.0</v>
      </c>
      <c r="F1036" s="66" t="s">
        <v>205</v>
      </c>
      <c r="G1036" s="66">
        <f t="shared" si="12"/>
        <v>0</v>
      </c>
      <c r="H1036" s="66">
        <v>0.0</v>
      </c>
      <c r="I1036" s="66">
        <v>0.8</v>
      </c>
      <c r="J1036" s="66">
        <v>0.4719</v>
      </c>
      <c r="K1036" s="81">
        <f t="shared" si="2"/>
        <v>0.8</v>
      </c>
      <c r="L1036" s="81">
        <f t="shared" si="3"/>
        <v>0.4719</v>
      </c>
      <c r="M1036" s="66">
        <v>5.0</v>
      </c>
    </row>
    <row r="1037">
      <c r="A1037" s="82">
        <v>44704.0</v>
      </c>
      <c r="B1037" s="82">
        <v>44704.0</v>
      </c>
      <c r="C1037" s="66">
        <v>2020.0</v>
      </c>
      <c r="D1037" s="66" t="s">
        <v>198</v>
      </c>
      <c r="E1037" s="66">
        <v>0.0</v>
      </c>
      <c r="F1037" s="66" t="s">
        <v>204</v>
      </c>
      <c r="G1037" s="66">
        <f t="shared" si="12"/>
        <v>0</v>
      </c>
      <c r="H1037" s="66">
        <v>0.0</v>
      </c>
      <c r="I1037" s="66">
        <v>0.44</v>
      </c>
      <c r="J1037" s="66">
        <v>0.2435</v>
      </c>
      <c r="K1037" s="81">
        <f t="shared" si="2"/>
        <v>0.44</v>
      </c>
      <c r="L1037" s="81">
        <f t="shared" si="3"/>
        <v>0.2435</v>
      </c>
      <c r="M1037" s="66">
        <v>5.0</v>
      </c>
    </row>
    <row r="1038">
      <c r="A1038" s="82">
        <v>44704.0</v>
      </c>
      <c r="B1038" s="82">
        <v>44704.0</v>
      </c>
      <c r="C1038" s="66">
        <v>2301.0</v>
      </c>
      <c r="D1038" s="66" t="s">
        <v>198</v>
      </c>
      <c r="E1038" s="66">
        <v>1.0</v>
      </c>
      <c r="F1038" s="66" t="s">
        <v>205</v>
      </c>
      <c r="G1038" s="66">
        <f t="shared" si="12"/>
        <v>0</v>
      </c>
      <c r="H1038" s="66">
        <v>0.0</v>
      </c>
      <c r="I1038" s="66">
        <v>4.22</v>
      </c>
      <c r="J1038" s="66">
        <v>2.6638</v>
      </c>
      <c r="K1038" s="81">
        <f t="shared" si="2"/>
        <v>4.22</v>
      </c>
      <c r="L1038" s="81">
        <f t="shared" si="3"/>
        <v>2.6638</v>
      </c>
      <c r="M1038" s="66">
        <v>5.0</v>
      </c>
    </row>
    <row r="1039">
      <c r="A1039" s="82">
        <v>44704.0</v>
      </c>
      <c r="B1039" s="82">
        <v>44704.0</v>
      </c>
      <c r="C1039" s="66">
        <v>2347.0</v>
      </c>
      <c r="D1039" s="66" t="s">
        <v>198</v>
      </c>
      <c r="E1039" s="66">
        <v>0.0</v>
      </c>
      <c r="F1039" s="66" t="s">
        <v>205</v>
      </c>
      <c r="G1039" s="66">
        <f t="shared" si="12"/>
        <v>0</v>
      </c>
      <c r="H1039" s="66">
        <v>0.0</v>
      </c>
      <c r="I1039" s="66">
        <v>1.42</v>
      </c>
      <c r="J1039" s="66">
        <v>0.7685</v>
      </c>
      <c r="K1039" s="81">
        <f t="shared" si="2"/>
        <v>1.42</v>
      </c>
      <c r="L1039" s="81">
        <f t="shared" si="3"/>
        <v>0.7685</v>
      </c>
      <c r="M1039" s="66">
        <v>1.0</v>
      </c>
    </row>
    <row r="1040">
      <c r="A1040" s="82">
        <v>44704.0</v>
      </c>
      <c r="B1040" s="82">
        <v>44704.0</v>
      </c>
      <c r="C1040" s="66">
        <v>2331.0</v>
      </c>
      <c r="D1040" s="66" t="s">
        <v>198</v>
      </c>
      <c r="E1040" s="66">
        <v>1.0</v>
      </c>
      <c r="F1040" s="66" t="s">
        <v>204</v>
      </c>
      <c r="G1040" s="66">
        <f t="shared" si="12"/>
        <v>0</v>
      </c>
      <c r="H1040" s="66">
        <v>0.0</v>
      </c>
      <c r="I1040" s="66">
        <v>0.34</v>
      </c>
      <c r="J1040" s="66">
        <v>0.2357</v>
      </c>
      <c r="K1040" s="81">
        <f t="shared" si="2"/>
        <v>0.34</v>
      </c>
      <c r="L1040" s="81">
        <f t="shared" si="3"/>
        <v>0.2357</v>
      </c>
      <c r="M1040" s="66">
        <v>5.0</v>
      </c>
    </row>
    <row r="1041">
      <c r="A1041" s="82">
        <v>44704.0</v>
      </c>
      <c r="B1041" s="82">
        <v>44704.0</v>
      </c>
      <c r="C1041" s="66">
        <v>2347.0</v>
      </c>
      <c r="D1041" s="66" t="s">
        <v>198</v>
      </c>
      <c r="E1041" s="66">
        <v>0.0</v>
      </c>
      <c r="F1041" s="66" t="s">
        <v>204</v>
      </c>
      <c r="G1041" s="66">
        <f t="shared" si="12"/>
        <v>0</v>
      </c>
      <c r="H1041" s="66">
        <v>0.0</v>
      </c>
      <c r="I1041" s="66">
        <v>0.08</v>
      </c>
      <c r="J1041" s="66">
        <v>0.0495</v>
      </c>
      <c r="K1041" s="81">
        <f t="shared" si="2"/>
        <v>0.08</v>
      </c>
      <c r="L1041" s="81">
        <f t="shared" si="3"/>
        <v>0.0495</v>
      </c>
      <c r="M1041" s="66">
        <v>2.2</v>
      </c>
    </row>
    <row r="1042">
      <c r="A1042" s="82">
        <v>44704.0</v>
      </c>
      <c r="B1042" s="82">
        <v>44704.0</v>
      </c>
      <c r="C1042" s="66">
        <v>2030.0</v>
      </c>
      <c r="D1042" s="66" t="s">
        <v>198</v>
      </c>
      <c r="E1042" s="66">
        <v>0.0</v>
      </c>
      <c r="F1042" s="66" t="s">
        <v>205</v>
      </c>
      <c r="G1042" s="66">
        <f t="shared" si="12"/>
        <v>0</v>
      </c>
      <c r="H1042" s="66">
        <v>0.0</v>
      </c>
      <c r="I1042" s="66">
        <v>2.14</v>
      </c>
      <c r="J1042" s="66">
        <v>1.232</v>
      </c>
      <c r="K1042" s="81">
        <f t="shared" si="2"/>
        <v>2.14</v>
      </c>
      <c r="L1042" s="81">
        <f t="shared" si="3"/>
        <v>1.232</v>
      </c>
    </row>
    <row r="1043">
      <c r="A1043" s="82">
        <v>44704.0</v>
      </c>
      <c r="B1043" s="82">
        <v>44704.0</v>
      </c>
      <c r="C1043" s="66">
        <v>2030.0</v>
      </c>
      <c r="D1043" s="66" t="s">
        <v>198</v>
      </c>
      <c r="E1043" s="66">
        <v>0.0</v>
      </c>
      <c r="F1043" s="66" t="s">
        <v>204</v>
      </c>
      <c r="G1043" s="66">
        <f t="shared" si="12"/>
        <v>0</v>
      </c>
      <c r="H1043" s="66">
        <v>0.0</v>
      </c>
      <c r="I1043" s="66">
        <v>0.12</v>
      </c>
      <c r="J1043" s="66">
        <v>0.0718</v>
      </c>
      <c r="K1043" s="81">
        <f t="shared" si="2"/>
        <v>0.12</v>
      </c>
      <c r="L1043" s="81">
        <f t="shared" si="3"/>
        <v>0.0718</v>
      </c>
      <c r="M1043" s="66">
        <v>5.0</v>
      </c>
    </row>
    <row r="1044">
      <c r="A1044" s="82">
        <v>44704.0</v>
      </c>
      <c r="B1044" s="82">
        <v>44704.0</v>
      </c>
      <c r="C1044" s="66">
        <v>2029.0</v>
      </c>
      <c r="D1044" s="66" t="s">
        <v>198</v>
      </c>
      <c r="E1044" s="66">
        <v>1.0</v>
      </c>
      <c r="F1044" s="66" t="s">
        <v>204</v>
      </c>
      <c r="G1044" s="66">
        <f t="shared" si="12"/>
        <v>0</v>
      </c>
      <c r="H1044" s="66">
        <v>0.0</v>
      </c>
      <c r="I1044" s="66">
        <v>1.02</v>
      </c>
      <c r="J1044" s="66">
        <v>0.6308</v>
      </c>
      <c r="K1044" s="81">
        <f t="shared" si="2"/>
        <v>1.02</v>
      </c>
      <c r="L1044" s="81">
        <f t="shared" si="3"/>
        <v>0.6308</v>
      </c>
    </row>
    <row r="1045">
      <c r="A1045" s="82">
        <v>44704.0</v>
      </c>
      <c r="B1045" s="82">
        <v>44704.0</v>
      </c>
      <c r="C1045" s="66">
        <v>2011.0</v>
      </c>
      <c r="D1045" s="66" t="s">
        <v>198</v>
      </c>
      <c r="E1045" s="66">
        <v>0.0</v>
      </c>
      <c r="F1045" s="66" t="s">
        <v>205</v>
      </c>
      <c r="G1045" s="66">
        <f t="shared" si="12"/>
        <v>0</v>
      </c>
      <c r="H1045" s="66">
        <v>0.0</v>
      </c>
      <c r="I1045" s="66">
        <v>2.37</v>
      </c>
      <c r="J1045" s="66">
        <v>1.3793</v>
      </c>
      <c r="K1045" s="81">
        <f t="shared" si="2"/>
        <v>2.37</v>
      </c>
      <c r="L1045" s="81">
        <f t="shared" si="3"/>
        <v>1.3793</v>
      </c>
    </row>
    <row r="1046">
      <c r="A1046" s="82">
        <v>44704.0</v>
      </c>
      <c r="B1046" s="82">
        <v>44704.0</v>
      </c>
      <c r="C1046" s="66">
        <v>2030.0</v>
      </c>
      <c r="D1046" s="66" t="s">
        <v>198</v>
      </c>
      <c r="E1046" s="66">
        <v>1.0</v>
      </c>
      <c r="F1046" s="66" t="s">
        <v>205</v>
      </c>
      <c r="G1046" s="66">
        <f t="shared" si="12"/>
        <v>0</v>
      </c>
      <c r="H1046" s="66">
        <v>0.0</v>
      </c>
      <c r="I1046" s="66">
        <v>0.49</v>
      </c>
      <c r="J1046" s="66">
        <v>0.306</v>
      </c>
      <c r="K1046" s="81">
        <f t="shared" si="2"/>
        <v>0.49</v>
      </c>
      <c r="L1046" s="81">
        <f t="shared" si="3"/>
        <v>0.306</v>
      </c>
      <c r="M1046" s="66">
        <v>3.0</v>
      </c>
    </row>
    <row r="1047">
      <c r="A1047" s="82">
        <v>44704.0</v>
      </c>
      <c r="B1047" s="82">
        <v>44704.0</v>
      </c>
      <c r="C1047" s="66">
        <v>2020.0</v>
      </c>
      <c r="D1047" s="66" t="s">
        <v>198</v>
      </c>
      <c r="E1047" s="66">
        <v>1.0</v>
      </c>
      <c r="F1047" s="66" t="s">
        <v>204</v>
      </c>
      <c r="G1047" s="66">
        <f t="shared" si="12"/>
        <v>0</v>
      </c>
      <c r="H1047" s="66">
        <v>0.0</v>
      </c>
      <c r="I1047" s="66">
        <v>0.75</v>
      </c>
      <c r="J1047" s="66">
        <v>0.4332</v>
      </c>
      <c r="K1047" s="81">
        <f t="shared" si="2"/>
        <v>0.75</v>
      </c>
      <c r="L1047" s="81">
        <f t="shared" si="3"/>
        <v>0.4332</v>
      </c>
      <c r="M1047" s="66">
        <v>1.0</v>
      </c>
    </row>
    <row r="1048">
      <c r="A1048" s="82">
        <v>44704.0</v>
      </c>
      <c r="B1048" s="82">
        <v>44704.0</v>
      </c>
      <c r="C1048" s="66">
        <v>2384.0</v>
      </c>
      <c r="D1048" s="66" t="s">
        <v>198</v>
      </c>
      <c r="E1048" s="66">
        <v>0.0</v>
      </c>
      <c r="F1048" s="66" t="s">
        <v>205</v>
      </c>
      <c r="G1048" s="66">
        <f t="shared" si="12"/>
        <v>0</v>
      </c>
      <c r="H1048" s="66">
        <v>0.0</v>
      </c>
      <c r="I1048" s="66">
        <v>2.26</v>
      </c>
      <c r="J1048" s="66">
        <v>1.3048</v>
      </c>
      <c r="K1048" s="81">
        <f t="shared" si="2"/>
        <v>2.26</v>
      </c>
      <c r="L1048" s="81">
        <f t="shared" si="3"/>
        <v>1.3048</v>
      </c>
      <c r="M1048" s="66">
        <v>4.0</v>
      </c>
    </row>
    <row r="1049">
      <c r="A1049" s="82">
        <v>44704.0</v>
      </c>
      <c r="B1049" s="82">
        <v>44704.0</v>
      </c>
      <c r="C1049" s="66">
        <v>2384.0</v>
      </c>
      <c r="D1049" s="66" t="s">
        <v>198</v>
      </c>
      <c r="E1049" s="66">
        <v>0.0</v>
      </c>
      <c r="F1049" s="66" t="s">
        <v>204</v>
      </c>
      <c r="G1049" s="66">
        <f t="shared" si="12"/>
        <v>0</v>
      </c>
      <c r="H1049" s="66">
        <v>0.0</v>
      </c>
      <c r="I1049" s="66">
        <v>0.22</v>
      </c>
      <c r="J1049" s="66">
        <v>0.1331</v>
      </c>
      <c r="K1049" s="81">
        <f t="shared" si="2"/>
        <v>0.22</v>
      </c>
      <c r="L1049" s="81">
        <f t="shared" si="3"/>
        <v>0.1331</v>
      </c>
      <c r="M1049" s="66">
        <v>3.0</v>
      </c>
    </row>
    <row r="1050">
      <c r="A1050" s="82">
        <v>44704.0</v>
      </c>
      <c r="B1050" s="82">
        <v>44704.0</v>
      </c>
      <c r="C1050" s="66">
        <v>2028.0</v>
      </c>
      <c r="D1050" s="66" t="s">
        <v>198</v>
      </c>
      <c r="E1050" s="66">
        <v>0.0</v>
      </c>
      <c r="F1050" s="66" t="s">
        <v>204</v>
      </c>
      <c r="G1050" s="66">
        <f t="shared" si="12"/>
        <v>0</v>
      </c>
      <c r="H1050" s="66">
        <v>0.0</v>
      </c>
      <c r="I1050" s="66">
        <v>0.36</v>
      </c>
      <c r="J1050" s="66">
        <v>0.2127</v>
      </c>
      <c r="K1050" s="81">
        <f t="shared" si="2"/>
        <v>0.36</v>
      </c>
      <c r="L1050" s="81">
        <f t="shared" si="3"/>
        <v>0.2127</v>
      </c>
    </row>
    <row r="1051">
      <c r="A1051" s="82">
        <v>44704.0</v>
      </c>
      <c r="B1051" s="82">
        <v>44704.0</v>
      </c>
      <c r="C1051" s="66">
        <v>2021.0</v>
      </c>
      <c r="D1051" s="66" t="s">
        <v>198</v>
      </c>
      <c r="E1051" s="66">
        <v>0.0</v>
      </c>
      <c r="F1051" s="66" t="s">
        <v>204</v>
      </c>
      <c r="G1051" s="66">
        <f t="shared" si="12"/>
        <v>0</v>
      </c>
      <c r="H1051" s="66">
        <v>0.0</v>
      </c>
      <c r="I1051" s="66">
        <v>0.11</v>
      </c>
      <c r="J1051" s="66">
        <v>0.0664</v>
      </c>
      <c r="K1051" s="81">
        <f t="shared" si="2"/>
        <v>0.11</v>
      </c>
      <c r="L1051" s="81">
        <f t="shared" si="3"/>
        <v>0.0664</v>
      </c>
      <c r="M1051" s="66">
        <v>5.0</v>
      </c>
    </row>
    <row r="1052">
      <c r="A1052" s="82">
        <v>44704.0</v>
      </c>
      <c r="B1052" s="82">
        <v>44704.0</v>
      </c>
      <c r="C1052" s="66">
        <v>2384.0</v>
      </c>
      <c r="D1052" s="66" t="s">
        <v>198</v>
      </c>
      <c r="E1052" s="66">
        <v>1.0</v>
      </c>
      <c r="F1052" s="66" t="s">
        <v>204</v>
      </c>
      <c r="G1052" s="66">
        <f t="shared" si="12"/>
        <v>0</v>
      </c>
      <c r="H1052" s="66">
        <v>0.0</v>
      </c>
      <c r="I1052" s="66">
        <v>0.56</v>
      </c>
      <c r="J1052" s="66">
        <v>0.3491</v>
      </c>
      <c r="K1052" s="81">
        <f t="shared" si="2"/>
        <v>0.56</v>
      </c>
      <c r="L1052" s="81">
        <f t="shared" si="3"/>
        <v>0.3491</v>
      </c>
      <c r="M1052" s="66">
        <v>1.0</v>
      </c>
    </row>
    <row r="1053">
      <c r="A1053" s="82">
        <v>44704.0</v>
      </c>
      <c r="B1053" s="82">
        <v>44704.0</v>
      </c>
      <c r="C1053" s="66">
        <v>2029.0</v>
      </c>
      <c r="D1053" s="66" t="s">
        <v>198</v>
      </c>
      <c r="E1053" s="66">
        <v>0.0</v>
      </c>
      <c r="F1053" s="66" t="s">
        <v>204</v>
      </c>
      <c r="G1053" s="66">
        <f t="shared" si="12"/>
        <v>0</v>
      </c>
      <c r="H1053" s="66">
        <v>0.0</v>
      </c>
      <c r="I1053" s="66">
        <v>0.04</v>
      </c>
      <c r="J1053" s="66">
        <v>0.023</v>
      </c>
      <c r="K1053" s="81">
        <f t="shared" si="2"/>
        <v>0.04</v>
      </c>
      <c r="L1053" s="81">
        <f t="shared" si="3"/>
        <v>0.023</v>
      </c>
      <c r="M1053" s="66">
        <v>3.0</v>
      </c>
    </row>
    <row r="1054">
      <c r="A1054" s="82">
        <v>44704.0</v>
      </c>
      <c r="B1054" s="82">
        <v>44704.0</v>
      </c>
      <c r="C1054" s="66">
        <v>2380.0</v>
      </c>
      <c r="D1054" s="66" t="s">
        <v>198</v>
      </c>
      <c r="E1054" s="66">
        <v>1.0</v>
      </c>
      <c r="F1054" s="66" t="s">
        <v>205</v>
      </c>
      <c r="G1054" s="66">
        <f t="shared" si="12"/>
        <v>0</v>
      </c>
      <c r="H1054" s="66">
        <v>0.0</v>
      </c>
      <c r="I1054" s="66">
        <v>2.59</v>
      </c>
      <c r="J1054" s="66">
        <v>1.6711</v>
      </c>
      <c r="K1054" s="81">
        <f t="shared" si="2"/>
        <v>2.59</v>
      </c>
      <c r="L1054" s="81">
        <f t="shared" si="3"/>
        <v>1.6711</v>
      </c>
      <c r="M1054" s="66">
        <v>2.1</v>
      </c>
    </row>
    <row r="1055">
      <c r="A1055" s="82">
        <v>44704.0</v>
      </c>
      <c r="B1055" s="82">
        <v>44704.0</v>
      </c>
      <c r="C1055" s="66">
        <v>2021.0</v>
      </c>
      <c r="D1055" s="66" t="s">
        <v>198</v>
      </c>
      <c r="E1055" s="66">
        <v>1.0</v>
      </c>
      <c r="F1055" s="66" t="s">
        <v>204</v>
      </c>
      <c r="G1055" s="66">
        <f t="shared" si="12"/>
        <v>0</v>
      </c>
      <c r="H1055" s="66">
        <v>0.0</v>
      </c>
      <c r="I1055" s="66">
        <v>0.46</v>
      </c>
      <c r="J1055" s="66">
        <v>0.2849</v>
      </c>
      <c r="K1055" s="81">
        <f t="shared" si="2"/>
        <v>0.46</v>
      </c>
      <c r="L1055" s="81">
        <f t="shared" si="3"/>
        <v>0.2849</v>
      </c>
      <c r="M1055" s="66">
        <v>3.0</v>
      </c>
    </row>
    <row r="1056">
      <c r="A1056" s="82">
        <v>44704.0</v>
      </c>
      <c r="B1056" s="82">
        <v>44704.0</v>
      </c>
      <c r="C1056" s="66">
        <v>2372.0</v>
      </c>
      <c r="D1056" s="66" t="s">
        <v>198</v>
      </c>
      <c r="E1056" s="66">
        <v>0.0</v>
      </c>
      <c r="F1056" s="66" t="s">
        <v>205</v>
      </c>
      <c r="G1056" s="66">
        <f t="shared" si="12"/>
        <v>0</v>
      </c>
      <c r="H1056" s="66">
        <v>0.0</v>
      </c>
      <c r="I1056" s="66">
        <v>1.28</v>
      </c>
      <c r="J1056" s="66">
        <v>0.7511</v>
      </c>
      <c r="K1056" s="81">
        <f t="shared" si="2"/>
        <v>1.28</v>
      </c>
      <c r="L1056" s="81">
        <f t="shared" si="3"/>
        <v>0.7511</v>
      </c>
    </row>
    <row r="1057">
      <c r="A1057" s="82">
        <v>44704.0</v>
      </c>
      <c r="B1057" s="82">
        <v>44704.0</v>
      </c>
      <c r="C1057" s="66">
        <v>2028.0</v>
      </c>
      <c r="D1057" s="66" t="s">
        <v>198</v>
      </c>
      <c r="E1057" s="66">
        <v>0.0</v>
      </c>
      <c r="F1057" s="66" t="s">
        <v>205</v>
      </c>
      <c r="G1057" s="66">
        <f t="shared" si="12"/>
        <v>0</v>
      </c>
      <c r="H1057" s="66">
        <v>0.0</v>
      </c>
      <c r="I1057" s="66">
        <v>3.27</v>
      </c>
      <c r="J1057" s="66">
        <v>1.9274</v>
      </c>
      <c r="K1057" s="81">
        <f t="shared" si="2"/>
        <v>3.27</v>
      </c>
      <c r="L1057" s="81">
        <f t="shared" si="3"/>
        <v>1.9274</v>
      </c>
    </row>
    <row r="1058">
      <c r="A1058" s="82">
        <v>44704.0</v>
      </c>
      <c r="B1058" s="82">
        <v>44704.0</v>
      </c>
      <c r="C1058" s="66">
        <v>2371.0</v>
      </c>
      <c r="D1058" s="66" t="s">
        <v>198</v>
      </c>
      <c r="E1058" s="66">
        <v>1.0</v>
      </c>
      <c r="F1058" s="66" t="s">
        <v>204</v>
      </c>
      <c r="G1058" s="66">
        <f t="shared" si="12"/>
        <v>0</v>
      </c>
      <c r="H1058" s="66">
        <v>0.0</v>
      </c>
      <c r="I1058" s="66">
        <v>0.32</v>
      </c>
      <c r="J1058" s="66">
        <v>0.2005</v>
      </c>
      <c r="K1058" s="81">
        <f t="shared" si="2"/>
        <v>0.32</v>
      </c>
      <c r="L1058" s="81">
        <f t="shared" si="3"/>
        <v>0.2005</v>
      </c>
    </row>
    <row r="1059">
      <c r="A1059" s="82">
        <v>44704.0</v>
      </c>
      <c r="B1059" s="82">
        <v>44704.0</v>
      </c>
      <c r="C1059" s="66">
        <v>2011.0</v>
      </c>
      <c r="D1059" s="66" t="s">
        <v>198</v>
      </c>
      <c r="E1059" s="66">
        <v>1.0</v>
      </c>
      <c r="F1059" s="66" t="s">
        <v>204</v>
      </c>
      <c r="G1059" s="66">
        <f t="shared" si="12"/>
        <v>0</v>
      </c>
      <c r="H1059" s="66">
        <v>0.0</v>
      </c>
      <c r="I1059" s="66">
        <v>0.45</v>
      </c>
      <c r="J1059" s="66">
        <v>0.2758</v>
      </c>
      <c r="K1059" s="81">
        <f t="shared" si="2"/>
        <v>0.45</v>
      </c>
      <c r="L1059" s="81">
        <f t="shared" si="3"/>
        <v>0.2758</v>
      </c>
    </row>
    <row r="1060">
      <c r="A1060" s="82">
        <v>44704.0</v>
      </c>
      <c r="B1060" s="82">
        <v>44704.0</v>
      </c>
      <c r="C1060" s="66">
        <v>2025.0</v>
      </c>
      <c r="D1060" s="66" t="s">
        <v>198</v>
      </c>
      <c r="E1060" s="66">
        <v>1.0</v>
      </c>
      <c r="F1060" s="66" t="s">
        <v>204</v>
      </c>
      <c r="G1060" s="66">
        <f t="shared" si="12"/>
        <v>0</v>
      </c>
      <c r="H1060" s="66">
        <v>0.0</v>
      </c>
      <c r="I1060" s="66">
        <v>0.1</v>
      </c>
      <c r="J1060" s="66">
        <v>0.0639</v>
      </c>
      <c r="K1060" s="81">
        <f t="shared" si="2"/>
        <v>0.1</v>
      </c>
      <c r="L1060" s="81">
        <f t="shared" si="3"/>
        <v>0.0639</v>
      </c>
      <c r="M1060" s="66">
        <v>4.0</v>
      </c>
    </row>
    <row r="1061">
      <c r="A1061" s="82">
        <v>44704.0</v>
      </c>
      <c r="B1061" s="82">
        <v>44704.0</v>
      </c>
      <c r="C1061" s="66">
        <v>2024.0</v>
      </c>
      <c r="D1061" s="66" t="s">
        <v>198</v>
      </c>
      <c r="E1061" s="66">
        <v>0.0</v>
      </c>
      <c r="F1061" s="66" t="s">
        <v>204</v>
      </c>
      <c r="G1061" s="66">
        <f t="shared" si="12"/>
        <v>0</v>
      </c>
      <c r="H1061" s="66">
        <v>0.0</v>
      </c>
      <c r="I1061" s="66">
        <v>0.19</v>
      </c>
      <c r="J1061" s="66">
        <v>0.108</v>
      </c>
      <c r="K1061" s="81">
        <f t="shared" si="2"/>
        <v>0.19</v>
      </c>
      <c r="L1061" s="81">
        <f t="shared" si="3"/>
        <v>0.108</v>
      </c>
    </row>
    <row r="1062">
      <c r="A1062" s="82">
        <v>44704.0</v>
      </c>
      <c r="B1062" s="82">
        <v>44704.0</v>
      </c>
      <c r="C1062" s="66">
        <v>2383.0</v>
      </c>
      <c r="D1062" s="66" t="s">
        <v>198</v>
      </c>
      <c r="E1062" s="66">
        <v>0.0</v>
      </c>
      <c r="F1062" s="66" t="s">
        <v>205</v>
      </c>
      <c r="G1062" s="66">
        <f t="shared" si="12"/>
        <v>0</v>
      </c>
      <c r="H1062" s="66">
        <v>0.0</v>
      </c>
      <c r="I1062" s="66">
        <v>2.4</v>
      </c>
      <c r="J1062" s="66">
        <v>1.3994</v>
      </c>
      <c r="K1062" s="81">
        <f t="shared" si="2"/>
        <v>2.4</v>
      </c>
      <c r="L1062" s="81">
        <f t="shared" si="3"/>
        <v>1.3994</v>
      </c>
      <c r="M1062" s="66">
        <v>2.1</v>
      </c>
    </row>
    <row r="1063">
      <c r="A1063" s="82">
        <v>44704.0</v>
      </c>
      <c r="B1063" s="82">
        <v>44704.0</v>
      </c>
      <c r="C1063" s="66">
        <v>2027.0</v>
      </c>
      <c r="D1063" s="66" t="s">
        <v>198</v>
      </c>
      <c r="E1063" s="66">
        <v>0.0</v>
      </c>
      <c r="F1063" s="66" t="s">
        <v>205</v>
      </c>
      <c r="G1063" s="66">
        <f t="shared" si="12"/>
        <v>0</v>
      </c>
      <c r="H1063" s="66">
        <v>0.0</v>
      </c>
      <c r="I1063" s="66">
        <v>2.05</v>
      </c>
      <c r="J1063" s="66">
        <v>1.1809</v>
      </c>
      <c r="K1063" s="81">
        <f t="shared" si="2"/>
        <v>2.05</v>
      </c>
      <c r="L1063" s="81">
        <f t="shared" si="3"/>
        <v>1.1809</v>
      </c>
    </row>
    <row r="1064">
      <c r="A1064" s="82">
        <v>44704.0</v>
      </c>
      <c r="B1064" s="82">
        <v>44704.0</v>
      </c>
      <c r="C1064" s="66">
        <v>2029.0</v>
      </c>
      <c r="D1064" s="66" t="s">
        <v>198</v>
      </c>
      <c r="E1064" s="66">
        <v>1.0</v>
      </c>
      <c r="F1064" s="66" t="s">
        <v>205</v>
      </c>
      <c r="G1064" s="66">
        <f t="shared" si="12"/>
        <v>0</v>
      </c>
      <c r="H1064" s="66">
        <v>0.0</v>
      </c>
      <c r="I1064" s="66">
        <v>5.38</v>
      </c>
      <c r="J1064" s="66">
        <v>3.5115</v>
      </c>
      <c r="K1064" s="81">
        <f t="shared" si="2"/>
        <v>5.38</v>
      </c>
      <c r="L1064" s="81">
        <f t="shared" si="3"/>
        <v>3.5115</v>
      </c>
      <c r="M1064" s="66">
        <v>1.0</v>
      </c>
    </row>
    <row r="1065">
      <c r="A1065" s="82">
        <v>44704.0</v>
      </c>
      <c r="B1065" s="82">
        <v>44704.0</v>
      </c>
      <c r="C1065" s="66">
        <v>2021.0</v>
      </c>
      <c r="D1065" s="66" t="s">
        <v>198</v>
      </c>
      <c r="E1065" s="66">
        <v>0.0</v>
      </c>
      <c r="F1065" s="66" t="s">
        <v>205</v>
      </c>
      <c r="G1065" s="66">
        <f t="shared" si="12"/>
        <v>0</v>
      </c>
      <c r="H1065" s="66">
        <v>0.0</v>
      </c>
      <c r="I1065" s="66">
        <v>1.56</v>
      </c>
      <c r="J1065" s="66">
        <v>0.9032</v>
      </c>
      <c r="K1065" s="81">
        <f t="shared" si="2"/>
        <v>1.56</v>
      </c>
      <c r="L1065" s="81">
        <f t="shared" si="3"/>
        <v>0.9032</v>
      </c>
    </row>
    <row r="1066">
      <c r="A1066" s="82">
        <v>44704.0</v>
      </c>
      <c r="B1066" s="82">
        <v>44704.0</v>
      </c>
      <c r="C1066" s="66">
        <v>2030.0</v>
      </c>
      <c r="D1066" s="66" t="s">
        <v>198</v>
      </c>
      <c r="E1066" s="66">
        <v>1.0</v>
      </c>
      <c r="F1066" s="66" t="s">
        <v>204</v>
      </c>
      <c r="G1066" s="66">
        <f t="shared" si="12"/>
        <v>0</v>
      </c>
      <c r="H1066" s="66">
        <v>0.0</v>
      </c>
      <c r="I1066" s="66">
        <v>0.44</v>
      </c>
      <c r="J1066" s="66">
        <v>0.261</v>
      </c>
      <c r="K1066" s="81">
        <f t="shared" si="2"/>
        <v>0.44</v>
      </c>
      <c r="L1066" s="81">
        <f t="shared" si="3"/>
        <v>0.261</v>
      </c>
      <c r="M1066" s="66">
        <v>5.0</v>
      </c>
    </row>
    <row r="1067">
      <c r="A1067" s="82">
        <v>44704.0</v>
      </c>
      <c r="B1067" s="82">
        <v>44704.0</v>
      </c>
      <c r="C1067" s="66">
        <v>2372.0</v>
      </c>
      <c r="D1067" s="66" t="s">
        <v>198</v>
      </c>
      <c r="E1067" s="66">
        <v>0.0</v>
      </c>
      <c r="F1067" s="66" t="s">
        <v>204</v>
      </c>
      <c r="G1067" s="66">
        <f t="shared" si="12"/>
        <v>0</v>
      </c>
      <c r="H1067" s="66">
        <v>0.0</v>
      </c>
      <c r="I1067" s="66">
        <v>0.1</v>
      </c>
      <c r="J1067" s="66">
        <v>0.0598</v>
      </c>
      <c r="K1067" s="81">
        <f t="shared" si="2"/>
        <v>0.1</v>
      </c>
      <c r="L1067" s="81">
        <f t="shared" si="3"/>
        <v>0.0598</v>
      </c>
    </row>
    <row r="1068">
      <c r="A1068" s="82">
        <v>44704.0</v>
      </c>
      <c r="B1068" s="82">
        <v>44704.0</v>
      </c>
      <c r="C1068" s="66">
        <v>2020.0</v>
      </c>
      <c r="D1068" s="66" t="s">
        <v>198</v>
      </c>
      <c r="E1068" s="66">
        <v>0.0</v>
      </c>
      <c r="F1068" s="66" t="s">
        <v>205</v>
      </c>
      <c r="G1068" s="66">
        <f t="shared" si="12"/>
        <v>0</v>
      </c>
      <c r="H1068" s="66">
        <v>0.0</v>
      </c>
      <c r="I1068" s="66">
        <v>3.31</v>
      </c>
      <c r="J1068" s="66">
        <v>1.8391</v>
      </c>
      <c r="K1068" s="81">
        <f t="shared" si="2"/>
        <v>3.31</v>
      </c>
      <c r="L1068" s="81">
        <f t="shared" si="3"/>
        <v>1.8391</v>
      </c>
    </row>
    <row r="1069">
      <c r="A1069" s="82">
        <v>44704.0</v>
      </c>
      <c r="B1069" s="82">
        <v>44704.0</v>
      </c>
      <c r="C1069" s="66">
        <v>2027.0</v>
      </c>
      <c r="D1069" s="66" t="s">
        <v>198</v>
      </c>
      <c r="E1069" s="66">
        <v>1.0</v>
      </c>
      <c r="F1069" s="66" t="s">
        <v>204</v>
      </c>
      <c r="G1069" s="66">
        <f t="shared" si="12"/>
        <v>0</v>
      </c>
      <c r="H1069" s="66">
        <v>0.0</v>
      </c>
      <c r="I1069" s="66">
        <v>0.43</v>
      </c>
      <c r="J1069" s="66">
        <v>0.2667</v>
      </c>
      <c r="K1069" s="81">
        <f t="shared" si="2"/>
        <v>0.43</v>
      </c>
      <c r="L1069" s="81">
        <f t="shared" si="3"/>
        <v>0.2667</v>
      </c>
      <c r="M1069" s="66">
        <v>4.0</v>
      </c>
    </row>
    <row r="1070">
      <c r="A1070" s="82">
        <v>44704.0</v>
      </c>
      <c r="B1070" s="82">
        <v>44704.0</v>
      </c>
      <c r="C1070" s="66">
        <v>2347.0</v>
      </c>
      <c r="D1070" s="66" t="s">
        <v>198</v>
      </c>
      <c r="E1070" s="66">
        <v>1.0</v>
      </c>
      <c r="F1070" s="66" t="s">
        <v>204</v>
      </c>
      <c r="G1070" s="66">
        <f t="shared" si="12"/>
        <v>0</v>
      </c>
      <c r="H1070" s="66">
        <v>0.0</v>
      </c>
      <c r="I1070" s="66">
        <v>0.68</v>
      </c>
      <c r="J1070" s="66">
        <v>0.3843</v>
      </c>
      <c r="K1070" s="81">
        <f t="shared" si="2"/>
        <v>0.68</v>
      </c>
      <c r="L1070" s="81">
        <f t="shared" si="3"/>
        <v>0.3843</v>
      </c>
    </row>
    <row r="1071">
      <c r="A1071" s="82">
        <v>44704.0</v>
      </c>
      <c r="B1071" s="82">
        <v>44704.0</v>
      </c>
      <c r="C1071" s="66">
        <v>2331.0</v>
      </c>
      <c r="D1071" s="66" t="s">
        <v>198</v>
      </c>
      <c r="E1071" s="66">
        <v>1.0</v>
      </c>
      <c r="F1071" s="66" t="s">
        <v>205</v>
      </c>
      <c r="G1071" s="66">
        <f t="shared" si="12"/>
        <v>0</v>
      </c>
      <c r="H1071" s="66">
        <v>0.0</v>
      </c>
      <c r="I1071" s="66">
        <v>1.99</v>
      </c>
      <c r="J1071" s="66">
        <v>1.291</v>
      </c>
      <c r="K1071" s="81">
        <f t="shared" si="2"/>
        <v>1.99</v>
      </c>
      <c r="L1071" s="81">
        <f t="shared" si="3"/>
        <v>1.291</v>
      </c>
      <c r="M1071" s="66">
        <v>1.0</v>
      </c>
    </row>
    <row r="1072">
      <c r="A1072" s="82">
        <v>44704.0</v>
      </c>
      <c r="B1072" s="82">
        <v>44704.0</v>
      </c>
      <c r="C1072" s="66">
        <v>2025.0</v>
      </c>
      <c r="D1072" s="66" t="s">
        <v>198</v>
      </c>
      <c r="E1072" s="66">
        <v>0.0</v>
      </c>
      <c r="F1072" s="66" t="s">
        <v>205</v>
      </c>
      <c r="G1072" s="66">
        <f t="shared" si="12"/>
        <v>0</v>
      </c>
      <c r="H1072" s="66">
        <v>0.0</v>
      </c>
      <c r="I1072" s="66">
        <v>1.66</v>
      </c>
      <c r="J1072" s="66">
        <v>0.9371</v>
      </c>
      <c r="K1072" s="81">
        <f t="shared" si="2"/>
        <v>1.66</v>
      </c>
      <c r="L1072" s="81">
        <f t="shared" si="3"/>
        <v>0.9371</v>
      </c>
      <c r="M1072" s="66">
        <v>3.0</v>
      </c>
    </row>
    <row r="1073">
      <c r="A1073" s="82">
        <v>44704.0</v>
      </c>
      <c r="B1073" s="82">
        <v>44704.0</v>
      </c>
      <c r="C1073" s="66">
        <v>2301.0</v>
      </c>
      <c r="D1073" s="66" t="s">
        <v>198</v>
      </c>
      <c r="E1073" s="66">
        <v>1.0</v>
      </c>
      <c r="F1073" s="66" t="s">
        <v>204</v>
      </c>
      <c r="G1073" s="66">
        <f t="shared" si="12"/>
        <v>0</v>
      </c>
      <c r="H1073" s="66">
        <v>0.0</v>
      </c>
      <c r="I1073" s="66">
        <v>0.67</v>
      </c>
      <c r="J1073" s="66">
        <v>0.4257</v>
      </c>
      <c r="K1073" s="81">
        <f t="shared" si="2"/>
        <v>0.67</v>
      </c>
      <c r="L1073" s="81">
        <f t="shared" si="3"/>
        <v>0.4257</v>
      </c>
    </row>
    <row r="1074">
      <c r="A1074" s="82">
        <v>44704.0</v>
      </c>
      <c r="B1074" s="82">
        <v>44704.0</v>
      </c>
      <c r="C1074" s="66">
        <v>2011.0</v>
      </c>
      <c r="D1074" s="66" t="s">
        <v>198</v>
      </c>
      <c r="E1074" s="66">
        <v>0.0</v>
      </c>
      <c r="F1074" s="66" t="s">
        <v>204</v>
      </c>
      <c r="G1074" s="66">
        <f t="shared" si="12"/>
        <v>0</v>
      </c>
      <c r="H1074" s="66">
        <v>0.0</v>
      </c>
      <c r="I1074" s="66">
        <v>0.21</v>
      </c>
      <c r="J1074" s="66">
        <v>0.1194</v>
      </c>
      <c r="K1074" s="81">
        <f t="shared" si="2"/>
        <v>0.21</v>
      </c>
      <c r="L1074" s="81">
        <f t="shared" si="3"/>
        <v>0.1194</v>
      </c>
      <c r="M1074" s="66">
        <v>2.1</v>
      </c>
    </row>
    <row r="1075">
      <c r="A1075" s="82">
        <v>44704.0</v>
      </c>
      <c r="B1075" s="82">
        <v>44704.0</v>
      </c>
      <c r="C1075" s="66">
        <v>2025.0</v>
      </c>
      <c r="D1075" s="66" t="s">
        <v>198</v>
      </c>
      <c r="E1075" s="66">
        <v>0.0</v>
      </c>
      <c r="F1075" s="66" t="s">
        <v>204</v>
      </c>
      <c r="G1075" s="66">
        <f t="shared" si="12"/>
        <v>0</v>
      </c>
      <c r="H1075" s="66">
        <v>0.0</v>
      </c>
      <c r="I1075" s="66">
        <v>0.2</v>
      </c>
      <c r="J1075" s="66">
        <v>0.1232</v>
      </c>
      <c r="K1075" s="81">
        <f t="shared" si="2"/>
        <v>0.2</v>
      </c>
      <c r="L1075" s="81">
        <f t="shared" si="3"/>
        <v>0.1232</v>
      </c>
      <c r="M1075" s="66">
        <v>3.0</v>
      </c>
    </row>
    <row r="1076">
      <c r="A1076" s="82">
        <v>44704.0</v>
      </c>
      <c r="B1076" s="82">
        <v>44704.0</v>
      </c>
      <c r="C1076" s="66">
        <v>2380.0</v>
      </c>
      <c r="D1076" s="66" t="s">
        <v>198</v>
      </c>
      <c r="E1076" s="66">
        <v>1.0</v>
      </c>
      <c r="F1076" s="66" t="s">
        <v>204</v>
      </c>
      <c r="G1076" s="66">
        <f t="shared" si="12"/>
        <v>0</v>
      </c>
      <c r="H1076" s="66">
        <v>0.0</v>
      </c>
      <c r="I1076" s="66">
        <v>0.99</v>
      </c>
      <c r="J1076" s="66">
        <v>0.6219</v>
      </c>
      <c r="K1076" s="81">
        <f t="shared" si="2"/>
        <v>0.99</v>
      </c>
      <c r="L1076" s="81">
        <f t="shared" si="3"/>
        <v>0.6219</v>
      </c>
    </row>
    <row r="1077">
      <c r="A1077" s="82">
        <v>44704.0</v>
      </c>
      <c r="B1077" s="82">
        <v>44704.0</v>
      </c>
      <c r="C1077" s="66">
        <v>2028.0</v>
      </c>
      <c r="D1077" s="66" t="s">
        <v>198</v>
      </c>
      <c r="E1077" s="66">
        <v>1.0</v>
      </c>
      <c r="F1077" s="66" t="s">
        <v>204</v>
      </c>
      <c r="G1077" s="66">
        <f t="shared" si="12"/>
        <v>0</v>
      </c>
      <c r="H1077" s="66">
        <v>0.0</v>
      </c>
      <c r="I1077" s="66">
        <v>0.71</v>
      </c>
      <c r="J1077" s="66">
        <v>0.4159</v>
      </c>
      <c r="K1077" s="81">
        <f t="shared" si="2"/>
        <v>0.71</v>
      </c>
      <c r="L1077" s="81">
        <f t="shared" si="3"/>
        <v>0.4159</v>
      </c>
      <c r="M1077" s="66">
        <v>4.0</v>
      </c>
    </row>
    <row r="1078">
      <c r="A1078" s="82">
        <v>44704.0</v>
      </c>
      <c r="B1078" s="82">
        <v>44704.0</v>
      </c>
      <c r="C1078" s="66">
        <v>2383.0</v>
      </c>
      <c r="D1078" s="66" t="s">
        <v>198</v>
      </c>
      <c r="E1078" s="66">
        <v>1.0</v>
      </c>
      <c r="F1078" s="66" t="s">
        <v>204</v>
      </c>
      <c r="G1078" s="66">
        <f t="shared" si="12"/>
        <v>0</v>
      </c>
      <c r="H1078" s="66">
        <v>0.0</v>
      </c>
      <c r="I1078" s="66">
        <v>0.58</v>
      </c>
      <c r="J1078" s="66">
        <v>0.351</v>
      </c>
      <c r="K1078" s="81">
        <f t="shared" si="2"/>
        <v>0.58</v>
      </c>
      <c r="L1078" s="81">
        <f t="shared" si="3"/>
        <v>0.351</v>
      </c>
      <c r="M1078" s="66">
        <v>5.0</v>
      </c>
    </row>
    <row r="1079">
      <c r="A1079" s="82">
        <v>44704.0</v>
      </c>
      <c r="B1079" s="82">
        <v>44704.0</v>
      </c>
      <c r="C1079" s="66">
        <v>2370.0</v>
      </c>
      <c r="D1079" s="66" t="s">
        <v>198</v>
      </c>
      <c r="E1079" s="66">
        <v>1.0</v>
      </c>
      <c r="F1079" s="66" t="s">
        <v>204</v>
      </c>
      <c r="G1079" s="66">
        <f t="shared" si="12"/>
        <v>0</v>
      </c>
      <c r="H1079" s="66">
        <v>0.0</v>
      </c>
      <c r="I1079" s="66">
        <v>0.78</v>
      </c>
      <c r="J1079" s="66">
        <v>0.4785</v>
      </c>
      <c r="K1079" s="81">
        <f t="shared" si="2"/>
        <v>0.78</v>
      </c>
      <c r="L1079" s="81">
        <f t="shared" si="3"/>
        <v>0.4785</v>
      </c>
      <c r="M1079" s="66">
        <v>3.0</v>
      </c>
    </row>
    <row r="1080">
      <c r="A1080" s="82">
        <v>44704.0</v>
      </c>
      <c r="B1080" s="82">
        <v>44704.0</v>
      </c>
      <c r="C1080" s="66">
        <v>2370.0</v>
      </c>
      <c r="D1080" s="66" t="s">
        <v>198</v>
      </c>
      <c r="E1080" s="66">
        <v>0.0</v>
      </c>
      <c r="F1080" s="66" t="s">
        <v>205</v>
      </c>
      <c r="G1080" s="66">
        <f t="shared" si="12"/>
        <v>0</v>
      </c>
      <c r="H1080" s="66">
        <v>0.0</v>
      </c>
      <c r="I1080" s="66">
        <v>1.25</v>
      </c>
      <c r="J1080" s="66">
        <v>0.6848</v>
      </c>
      <c r="K1080" s="81">
        <f t="shared" si="2"/>
        <v>1.25</v>
      </c>
      <c r="L1080" s="81">
        <f t="shared" si="3"/>
        <v>0.6848</v>
      </c>
      <c r="M1080" s="66">
        <v>1.0</v>
      </c>
    </row>
    <row r="1081">
      <c r="A1081" s="82">
        <v>44704.0</v>
      </c>
      <c r="B1081" s="82">
        <v>44704.0</v>
      </c>
      <c r="C1081" s="66">
        <v>2383.0</v>
      </c>
      <c r="D1081" s="66" t="s">
        <v>198</v>
      </c>
      <c r="E1081" s="66">
        <v>0.0</v>
      </c>
      <c r="F1081" s="66" t="s">
        <v>204</v>
      </c>
      <c r="G1081" s="66">
        <f t="shared" si="12"/>
        <v>0</v>
      </c>
      <c r="H1081" s="66">
        <v>0.0</v>
      </c>
      <c r="I1081" s="66">
        <v>0.16</v>
      </c>
      <c r="J1081" s="66">
        <v>0.0945</v>
      </c>
      <c r="K1081" s="81">
        <f t="shared" si="2"/>
        <v>0.16</v>
      </c>
      <c r="L1081" s="81">
        <f t="shared" si="3"/>
        <v>0.0945</v>
      </c>
      <c r="M1081" s="66">
        <v>5.0</v>
      </c>
    </row>
    <row r="1082">
      <c r="A1082" s="82">
        <v>44704.0</v>
      </c>
      <c r="B1082" s="82">
        <v>44704.0</v>
      </c>
      <c r="C1082" s="66">
        <v>2005.0</v>
      </c>
      <c r="D1082" s="66" t="s">
        <v>198</v>
      </c>
      <c r="E1082" s="66">
        <v>1.0</v>
      </c>
      <c r="F1082" s="66" t="s">
        <v>204</v>
      </c>
      <c r="G1082" s="66">
        <f t="shared" si="12"/>
        <v>0</v>
      </c>
      <c r="H1082" s="66">
        <v>0.0</v>
      </c>
      <c r="I1082" s="66">
        <v>1.01</v>
      </c>
      <c r="J1082" s="66">
        <v>0.6571</v>
      </c>
      <c r="K1082" s="81">
        <f t="shared" si="2"/>
        <v>1.01</v>
      </c>
      <c r="L1082" s="81">
        <f t="shared" si="3"/>
        <v>0.6571</v>
      </c>
      <c r="M1082" s="66">
        <v>2.2</v>
      </c>
    </row>
    <row r="1083">
      <c r="A1083" s="82">
        <v>44704.0</v>
      </c>
      <c r="B1083" s="82">
        <v>44704.0</v>
      </c>
      <c r="C1083" s="66">
        <v>2371.0</v>
      </c>
      <c r="D1083" s="66" t="s">
        <v>198</v>
      </c>
      <c r="E1083" s="66">
        <v>0.0</v>
      </c>
      <c r="F1083" s="66" t="s">
        <v>205</v>
      </c>
      <c r="G1083" s="66">
        <f t="shared" si="12"/>
        <v>0</v>
      </c>
      <c r="H1083" s="66">
        <v>0.0</v>
      </c>
      <c r="I1083" s="66">
        <v>1.26</v>
      </c>
      <c r="J1083" s="66">
        <v>0.7116</v>
      </c>
      <c r="K1083" s="81">
        <f t="shared" si="2"/>
        <v>1.26</v>
      </c>
      <c r="L1083" s="81">
        <f t="shared" si="3"/>
        <v>0.7116</v>
      </c>
    </row>
    <row r="1084">
      <c r="A1084" s="82">
        <v>44704.0</v>
      </c>
      <c r="B1084" s="82">
        <v>44704.0</v>
      </c>
      <c r="C1084" s="66">
        <v>2370.0</v>
      </c>
      <c r="D1084" s="66" t="s">
        <v>198</v>
      </c>
      <c r="E1084" s="66">
        <v>0.0</v>
      </c>
      <c r="F1084" s="66" t="s">
        <v>204</v>
      </c>
      <c r="G1084" s="66">
        <f t="shared" si="12"/>
        <v>0</v>
      </c>
      <c r="H1084" s="66">
        <v>0.0</v>
      </c>
      <c r="I1084" s="66">
        <v>0.16</v>
      </c>
      <c r="J1084" s="66">
        <v>0.088</v>
      </c>
      <c r="K1084" s="81">
        <f t="shared" si="2"/>
        <v>0.16</v>
      </c>
      <c r="L1084" s="81">
        <f t="shared" si="3"/>
        <v>0.088</v>
      </c>
      <c r="M1084" s="66">
        <v>3.0</v>
      </c>
    </row>
    <row r="1085">
      <c r="A1085" s="82">
        <v>44704.0</v>
      </c>
      <c r="B1085" s="82">
        <v>44704.0</v>
      </c>
      <c r="C1085" s="66">
        <v>2005.0</v>
      </c>
      <c r="D1085" s="66" t="s">
        <v>198</v>
      </c>
      <c r="E1085" s="66">
        <v>0.0</v>
      </c>
      <c r="F1085" s="66" t="s">
        <v>204</v>
      </c>
      <c r="G1085" s="66">
        <f t="shared" si="12"/>
        <v>0</v>
      </c>
      <c r="H1085" s="66">
        <v>0.0</v>
      </c>
      <c r="I1085" s="66">
        <v>0.19</v>
      </c>
      <c r="J1085" s="66">
        <v>0.1112</v>
      </c>
      <c r="K1085" s="81">
        <f t="shared" si="2"/>
        <v>0.19</v>
      </c>
      <c r="L1085" s="81">
        <f t="shared" si="3"/>
        <v>0.1112</v>
      </c>
      <c r="M1085" s="66">
        <v>4.0</v>
      </c>
    </row>
    <row r="1086">
      <c r="A1086" s="82">
        <v>44704.0</v>
      </c>
      <c r="B1086" s="82">
        <v>44704.0</v>
      </c>
      <c r="C1086" s="66">
        <v>2372.0</v>
      </c>
      <c r="D1086" s="66" t="s">
        <v>198</v>
      </c>
      <c r="E1086" s="66">
        <v>1.0</v>
      </c>
      <c r="F1086" s="66" t="s">
        <v>204</v>
      </c>
      <c r="G1086" s="66">
        <f t="shared" si="12"/>
        <v>0</v>
      </c>
      <c r="H1086" s="66">
        <v>0.0</v>
      </c>
      <c r="I1086" s="66">
        <v>0.39</v>
      </c>
      <c r="J1086" s="66">
        <v>0.2447</v>
      </c>
      <c r="K1086" s="81">
        <f t="shared" si="2"/>
        <v>0.39</v>
      </c>
      <c r="L1086" s="81">
        <f t="shared" si="3"/>
        <v>0.2447</v>
      </c>
      <c r="M1086" s="66">
        <v>3.0</v>
      </c>
    </row>
    <row r="1087">
      <c r="A1087" s="82">
        <v>44704.0</v>
      </c>
      <c r="B1087" s="82">
        <v>44704.0</v>
      </c>
      <c r="C1087" s="66">
        <v>2005.0</v>
      </c>
      <c r="D1087" s="66" t="s">
        <v>198</v>
      </c>
      <c r="E1087" s="66">
        <v>0.0</v>
      </c>
      <c r="F1087" s="66" t="s">
        <v>205</v>
      </c>
      <c r="G1087" s="66">
        <f t="shared" si="12"/>
        <v>0</v>
      </c>
      <c r="H1087" s="66">
        <v>0.0</v>
      </c>
      <c r="I1087" s="66">
        <v>2.01</v>
      </c>
      <c r="J1087" s="66">
        <v>1.1489</v>
      </c>
      <c r="K1087" s="81">
        <f t="shared" si="2"/>
        <v>2.01</v>
      </c>
      <c r="L1087" s="81">
        <f t="shared" si="3"/>
        <v>1.1489</v>
      </c>
      <c r="M1087" s="66">
        <v>5.0</v>
      </c>
    </row>
    <row r="1088">
      <c r="A1088" s="82">
        <v>44704.0</v>
      </c>
      <c r="B1088" s="82">
        <v>44704.0</v>
      </c>
      <c r="C1088" s="66">
        <v>2024.0</v>
      </c>
      <c r="D1088" s="66" t="s">
        <v>198</v>
      </c>
      <c r="E1088" s="66">
        <v>0.0</v>
      </c>
      <c r="F1088" s="66" t="s">
        <v>205</v>
      </c>
      <c r="G1088" s="66">
        <f t="shared" si="12"/>
        <v>0</v>
      </c>
      <c r="H1088" s="66">
        <v>0.0</v>
      </c>
      <c r="I1088" s="66">
        <v>1.9</v>
      </c>
      <c r="J1088" s="66">
        <v>1.0722</v>
      </c>
      <c r="K1088" s="81">
        <f t="shared" si="2"/>
        <v>1.9</v>
      </c>
      <c r="L1088" s="81">
        <f t="shared" si="3"/>
        <v>1.0722</v>
      </c>
    </row>
    <row r="1089">
      <c r="A1089" s="82">
        <v>44704.0</v>
      </c>
      <c r="B1089" s="82">
        <v>44704.0</v>
      </c>
      <c r="C1089" s="66">
        <v>2371.0</v>
      </c>
      <c r="D1089" s="66" t="s">
        <v>198</v>
      </c>
      <c r="E1089" s="66">
        <v>0.0</v>
      </c>
      <c r="F1089" s="66" t="s">
        <v>204</v>
      </c>
      <c r="G1089" s="66">
        <f t="shared" si="12"/>
        <v>0</v>
      </c>
      <c r="H1089" s="66">
        <v>0.0</v>
      </c>
      <c r="I1089" s="66">
        <v>0.12</v>
      </c>
      <c r="J1089" s="66">
        <v>0.072</v>
      </c>
      <c r="K1089" s="81">
        <f t="shared" si="2"/>
        <v>0.12</v>
      </c>
      <c r="L1089" s="81">
        <f t="shared" si="3"/>
        <v>0.072</v>
      </c>
      <c r="M1089" s="66">
        <v>4.0</v>
      </c>
    </row>
    <row r="1090">
      <c r="A1090" s="82">
        <v>44704.0</v>
      </c>
      <c r="B1090" s="82">
        <v>44704.0</v>
      </c>
      <c r="C1090" s="66">
        <v>2024.0</v>
      </c>
      <c r="D1090" s="66" t="s">
        <v>198</v>
      </c>
      <c r="E1090" s="66">
        <v>1.0</v>
      </c>
      <c r="F1090" s="66" t="s">
        <v>204</v>
      </c>
      <c r="G1090" s="66">
        <f t="shared" si="12"/>
        <v>0</v>
      </c>
      <c r="H1090" s="66">
        <v>0.0</v>
      </c>
      <c r="I1090" s="66">
        <v>0.29</v>
      </c>
      <c r="J1090" s="66">
        <v>0.185</v>
      </c>
      <c r="K1090" s="81">
        <f t="shared" si="2"/>
        <v>0.29</v>
      </c>
      <c r="L1090" s="81">
        <f t="shared" si="3"/>
        <v>0.185</v>
      </c>
    </row>
    <row r="1091">
      <c r="A1091" s="82">
        <v>44704.0</v>
      </c>
      <c r="B1091" s="82">
        <v>44704.0</v>
      </c>
      <c r="C1091" s="66">
        <v>2027.0</v>
      </c>
      <c r="D1091" s="66" t="s">
        <v>198</v>
      </c>
      <c r="E1091" s="66">
        <v>0.0</v>
      </c>
      <c r="F1091" s="66" t="s">
        <v>204</v>
      </c>
      <c r="G1091" s="66">
        <f t="shared" si="12"/>
        <v>0</v>
      </c>
      <c r="H1091" s="66">
        <v>0.0</v>
      </c>
      <c r="I1091" s="66">
        <v>0.16</v>
      </c>
      <c r="J1091" s="66">
        <v>0.0998</v>
      </c>
      <c r="K1091" s="81">
        <f t="shared" si="2"/>
        <v>0.16</v>
      </c>
      <c r="L1091" s="81">
        <f t="shared" si="3"/>
        <v>0.0998</v>
      </c>
    </row>
    <row r="1092">
      <c r="A1092" s="82">
        <v>44704.0</v>
      </c>
      <c r="B1092" s="82">
        <v>44704.0</v>
      </c>
      <c r="C1092" s="66">
        <v>2022.0</v>
      </c>
      <c r="D1092" s="66" t="s">
        <v>198</v>
      </c>
      <c r="E1092" s="66">
        <v>0.0</v>
      </c>
      <c r="F1092" s="66" t="s">
        <v>205</v>
      </c>
      <c r="G1092" s="66">
        <f t="shared" si="12"/>
        <v>0</v>
      </c>
      <c r="H1092" s="66">
        <v>0.0</v>
      </c>
      <c r="I1092" s="66">
        <v>0.1847</v>
      </c>
      <c r="J1092" s="66">
        <v>0.107</v>
      </c>
      <c r="K1092" s="81">
        <f t="shared" si="2"/>
        <v>0.1847</v>
      </c>
      <c r="L1092" s="81">
        <f t="shared" si="3"/>
        <v>0.107</v>
      </c>
      <c r="M1092" s="66">
        <v>4.0</v>
      </c>
    </row>
    <row r="1093">
      <c r="A1093" s="82">
        <v>44704.0</v>
      </c>
      <c r="B1093" s="82">
        <v>44704.0</v>
      </c>
      <c r="C1093" s="66">
        <v>2014.0</v>
      </c>
      <c r="D1093" s="66" t="s">
        <v>198</v>
      </c>
      <c r="E1093" s="66">
        <v>1.0</v>
      </c>
      <c r="F1093" s="66" t="s">
        <v>204</v>
      </c>
      <c r="G1093" s="66">
        <f t="shared" si="12"/>
        <v>0</v>
      </c>
      <c r="H1093" s="66">
        <v>0.0</v>
      </c>
      <c r="I1093" s="66">
        <v>0.5128</v>
      </c>
      <c r="J1093" s="66">
        <v>0.322</v>
      </c>
      <c r="K1093" s="81">
        <f t="shared" si="2"/>
        <v>0.5128</v>
      </c>
      <c r="L1093" s="81">
        <f t="shared" si="3"/>
        <v>0.322</v>
      </c>
      <c r="M1093" s="66">
        <v>5.0</v>
      </c>
    </row>
    <row r="1094">
      <c r="A1094" s="82">
        <v>44704.0</v>
      </c>
      <c r="B1094" s="82">
        <v>44704.0</v>
      </c>
      <c r="C1094" s="66">
        <v>2360.0</v>
      </c>
      <c r="D1094" s="66" t="s">
        <v>198</v>
      </c>
      <c r="E1094" s="66">
        <v>0.0</v>
      </c>
      <c r="F1094" s="66" t="s">
        <v>205</v>
      </c>
      <c r="G1094" s="66">
        <f t="shared" si="12"/>
        <v>0</v>
      </c>
      <c r="H1094" s="66">
        <v>0.0</v>
      </c>
      <c r="I1094" s="66">
        <v>2.2687</v>
      </c>
      <c r="J1094" s="66">
        <v>1.326</v>
      </c>
      <c r="K1094" s="81">
        <f t="shared" si="2"/>
        <v>2.2687</v>
      </c>
      <c r="L1094" s="81">
        <f t="shared" si="3"/>
        <v>1.326</v>
      </c>
      <c r="M1094" s="66">
        <v>5.0</v>
      </c>
    </row>
    <row r="1095">
      <c r="A1095" s="82">
        <v>44704.0</v>
      </c>
      <c r="B1095" s="82">
        <v>44704.0</v>
      </c>
      <c r="C1095" s="66">
        <v>2009.0</v>
      </c>
      <c r="D1095" s="66" t="s">
        <v>198</v>
      </c>
      <c r="E1095" s="66">
        <v>0.0</v>
      </c>
      <c r="F1095" s="66" t="s">
        <v>204</v>
      </c>
      <c r="G1095" s="66">
        <f t="shared" si="12"/>
        <v>0</v>
      </c>
      <c r="H1095" s="66">
        <v>0.0</v>
      </c>
      <c r="I1095" s="66">
        <v>0.2195</v>
      </c>
      <c r="J1095" s="66">
        <v>0.127</v>
      </c>
      <c r="K1095" s="81">
        <f t="shared" si="2"/>
        <v>0.2195</v>
      </c>
      <c r="L1095" s="81">
        <f t="shared" si="3"/>
        <v>0.127</v>
      </c>
      <c r="M1095" s="66">
        <v>3.0</v>
      </c>
    </row>
    <row r="1096">
      <c r="A1096" s="82">
        <v>44704.0</v>
      </c>
      <c r="B1096" s="82">
        <v>44704.0</v>
      </c>
      <c r="C1096" s="66">
        <v>2022.0</v>
      </c>
      <c r="D1096" s="66" t="s">
        <v>198</v>
      </c>
      <c r="E1096" s="66">
        <v>1.0</v>
      </c>
      <c r="F1096" s="66" t="s">
        <v>205</v>
      </c>
      <c r="G1096" s="66">
        <f t="shared" si="12"/>
        <v>0</v>
      </c>
      <c r="H1096" s="66">
        <v>0.0</v>
      </c>
      <c r="I1096" s="66">
        <v>4.2032</v>
      </c>
      <c r="J1096" s="66">
        <v>2.574</v>
      </c>
      <c r="K1096" s="81">
        <f t="shared" si="2"/>
        <v>4.2032</v>
      </c>
      <c r="L1096" s="81">
        <f t="shared" si="3"/>
        <v>2.574</v>
      </c>
    </row>
    <row r="1097">
      <c r="A1097" s="82">
        <v>44704.0</v>
      </c>
      <c r="B1097" s="82">
        <v>44704.0</v>
      </c>
      <c r="C1097" s="66">
        <v>2354.0</v>
      </c>
      <c r="D1097" s="66" t="s">
        <v>198</v>
      </c>
      <c r="E1097" s="66">
        <v>1.0</v>
      </c>
      <c r="F1097" s="66" t="s">
        <v>204</v>
      </c>
      <c r="G1097" s="66">
        <f t="shared" si="12"/>
        <v>0</v>
      </c>
      <c r="H1097" s="66">
        <v>0.0</v>
      </c>
      <c r="I1097" s="66">
        <v>0.2688</v>
      </c>
      <c r="J1097" s="66">
        <v>0.168</v>
      </c>
      <c r="K1097" s="81">
        <f t="shared" si="2"/>
        <v>0.2688</v>
      </c>
      <c r="L1097" s="81">
        <f t="shared" si="3"/>
        <v>0.168</v>
      </c>
    </row>
    <row r="1098">
      <c r="A1098" s="82">
        <v>44704.0</v>
      </c>
      <c r="B1098" s="82">
        <v>44704.0</v>
      </c>
      <c r="C1098" s="66">
        <v>2382.0</v>
      </c>
      <c r="D1098" s="66" t="s">
        <v>198</v>
      </c>
      <c r="E1098" s="66">
        <v>1.0</v>
      </c>
      <c r="F1098" s="66" t="s">
        <v>204</v>
      </c>
      <c r="G1098" s="66">
        <f t="shared" si="12"/>
        <v>0</v>
      </c>
      <c r="H1098" s="66">
        <v>0.0</v>
      </c>
      <c r="I1098" s="66">
        <v>0.541</v>
      </c>
      <c r="J1098" s="66">
        <v>0.334</v>
      </c>
      <c r="K1098" s="81">
        <f t="shared" si="2"/>
        <v>0.541</v>
      </c>
      <c r="L1098" s="81">
        <f t="shared" si="3"/>
        <v>0.334</v>
      </c>
    </row>
    <row r="1099">
      <c r="A1099" s="82">
        <v>44704.0</v>
      </c>
      <c r="B1099" s="82">
        <v>44704.0</v>
      </c>
      <c r="C1099" s="66">
        <v>2377.0</v>
      </c>
      <c r="D1099" s="66" t="s">
        <v>198</v>
      </c>
      <c r="E1099" s="66">
        <v>1.0</v>
      </c>
      <c r="F1099" s="66" t="s">
        <v>205</v>
      </c>
      <c r="G1099" s="66">
        <f t="shared" si="12"/>
        <v>0</v>
      </c>
      <c r="H1099" s="66">
        <v>0.0</v>
      </c>
      <c r="I1099" s="66">
        <v>2.0329</v>
      </c>
      <c r="J1099" s="66">
        <v>1.368</v>
      </c>
      <c r="K1099" s="81">
        <f t="shared" si="2"/>
        <v>2.0329</v>
      </c>
      <c r="L1099" s="81">
        <f t="shared" si="3"/>
        <v>1.368</v>
      </c>
    </row>
    <row r="1100">
      <c r="A1100" s="82">
        <v>44704.0</v>
      </c>
      <c r="B1100" s="82">
        <v>44704.0</v>
      </c>
      <c r="C1100" s="66">
        <v>2345.0</v>
      </c>
      <c r="D1100" s="66" t="s">
        <v>198</v>
      </c>
      <c r="E1100" s="66">
        <v>1.0</v>
      </c>
      <c r="F1100" s="66" t="s">
        <v>204</v>
      </c>
      <c r="G1100" s="66">
        <f t="shared" si="12"/>
        <v>0</v>
      </c>
      <c r="H1100" s="66">
        <v>0.0</v>
      </c>
      <c r="I1100" s="66">
        <v>0.6631</v>
      </c>
      <c r="J1100" s="66">
        <v>0.394</v>
      </c>
      <c r="K1100" s="81">
        <f t="shared" si="2"/>
        <v>0.6631</v>
      </c>
      <c r="L1100" s="81">
        <f t="shared" si="3"/>
        <v>0.394</v>
      </c>
      <c r="M1100" s="66">
        <v>2.2</v>
      </c>
    </row>
    <row r="1101">
      <c r="A1101" s="82">
        <v>44704.0</v>
      </c>
      <c r="B1101" s="82">
        <v>44704.0</v>
      </c>
      <c r="C1101" s="66">
        <v>2377.0</v>
      </c>
      <c r="D1101" s="66" t="s">
        <v>198</v>
      </c>
      <c r="E1101" s="66">
        <v>0.0</v>
      </c>
      <c r="F1101" s="66" t="s">
        <v>204</v>
      </c>
      <c r="G1101" s="66">
        <f t="shared" si="12"/>
        <v>0</v>
      </c>
      <c r="H1101" s="66">
        <v>0.0</v>
      </c>
      <c r="I1101" s="66">
        <v>0.0364</v>
      </c>
      <c r="J1101" s="66">
        <v>0.019</v>
      </c>
      <c r="K1101" s="81">
        <f t="shared" si="2"/>
        <v>0.0364</v>
      </c>
      <c r="L1101" s="81">
        <f t="shared" si="3"/>
        <v>0.019</v>
      </c>
      <c r="M1101" s="66">
        <v>2.2</v>
      </c>
    </row>
    <row r="1102">
      <c r="A1102" s="82">
        <v>44704.0</v>
      </c>
      <c r="B1102" s="82">
        <v>44704.0</v>
      </c>
      <c r="C1102" s="66">
        <v>2382.0</v>
      </c>
      <c r="D1102" s="66" t="s">
        <v>198</v>
      </c>
      <c r="E1102" s="66">
        <v>0.0</v>
      </c>
      <c r="F1102" s="66" t="s">
        <v>205</v>
      </c>
      <c r="G1102" s="66">
        <f t="shared" si="12"/>
        <v>0</v>
      </c>
      <c r="H1102" s="66">
        <v>0.0</v>
      </c>
      <c r="I1102" s="66">
        <v>4.9168</v>
      </c>
      <c r="J1102" s="66">
        <v>2.974</v>
      </c>
      <c r="K1102" s="81">
        <f t="shared" si="2"/>
        <v>4.9168</v>
      </c>
      <c r="L1102" s="81">
        <f t="shared" si="3"/>
        <v>2.974</v>
      </c>
      <c r="M1102" s="66">
        <v>3.0</v>
      </c>
    </row>
    <row r="1103">
      <c r="A1103" s="82">
        <v>44704.0</v>
      </c>
      <c r="B1103" s="82">
        <v>44704.0</v>
      </c>
      <c r="C1103" s="66">
        <v>2346.0</v>
      </c>
      <c r="D1103" s="66" t="s">
        <v>198</v>
      </c>
      <c r="E1103" s="66">
        <v>0.0</v>
      </c>
      <c r="F1103" s="66" t="s">
        <v>205</v>
      </c>
      <c r="G1103" s="66">
        <f t="shared" si="12"/>
        <v>0</v>
      </c>
      <c r="H1103" s="66">
        <v>0.0</v>
      </c>
      <c r="I1103" s="66">
        <v>3.1163</v>
      </c>
      <c r="J1103" s="66">
        <v>1.902</v>
      </c>
      <c r="K1103" s="81">
        <f t="shared" si="2"/>
        <v>3.1163</v>
      </c>
      <c r="L1103" s="81">
        <f t="shared" si="3"/>
        <v>1.902</v>
      </c>
    </row>
    <row r="1104">
      <c r="A1104" s="82">
        <v>44704.0</v>
      </c>
      <c r="B1104" s="82">
        <v>44704.0</v>
      </c>
      <c r="C1104" s="66">
        <v>2379.0</v>
      </c>
      <c r="D1104" s="66" t="s">
        <v>198</v>
      </c>
      <c r="E1104" s="66">
        <v>0.0</v>
      </c>
      <c r="F1104" s="66" t="s">
        <v>205</v>
      </c>
      <c r="G1104" s="66">
        <f t="shared" si="12"/>
        <v>0</v>
      </c>
      <c r="H1104" s="66">
        <v>0.0</v>
      </c>
      <c r="I1104" s="66">
        <v>1.2269</v>
      </c>
      <c r="J1104" s="66">
        <v>0.723</v>
      </c>
      <c r="K1104" s="81">
        <f t="shared" si="2"/>
        <v>1.2269</v>
      </c>
      <c r="L1104" s="81">
        <f t="shared" si="3"/>
        <v>0.723</v>
      </c>
    </row>
    <row r="1105">
      <c r="A1105" s="82">
        <v>44704.0</v>
      </c>
      <c r="B1105" s="82">
        <v>44704.0</v>
      </c>
      <c r="C1105" s="66">
        <v>2377.0</v>
      </c>
      <c r="D1105" s="66" t="s">
        <v>198</v>
      </c>
      <c r="E1105" s="66">
        <v>1.0</v>
      </c>
      <c r="F1105" s="66" t="s">
        <v>204</v>
      </c>
      <c r="G1105" s="66">
        <f t="shared" si="12"/>
        <v>0</v>
      </c>
      <c r="H1105" s="66">
        <v>0.0</v>
      </c>
      <c r="I1105" s="66">
        <v>0.4828</v>
      </c>
      <c r="J1105" s="66">
        <v>0.298</v>
      </c>
      <c r="K1105" s="81">
        <f t="shared" si="2"/>
        <v>0.4828</v>
      </c>
      <c r="L1105" s="81">
        <f t="shared" si="3"/>
        <v>0.298</v>
      </c>
      <c r="M1105" s="66">
        <v>5.0</v>
      </c>
    </row>
    <row r="1106">
      <c r="A1106" s="82">
        <v>44704.0</v>
      </c>
      <c r="B1106" s="82">
        <v>44704.0</v>
      </c>
      <c r="C1106" s="66">
        <v>2377.0</v>
      </c>
      <c r="D1106" s="66" t="s">
        <v>198</v>
      </c>
      <c r="E1106" s="66">
        <v>1.0</v>
      </c>
      <c r="F1106" s="66" t="s">
        <v>205</v>
      </c>
      <c r="G1106" s="66">
        <f t="shared" si="12"/>
        <v>0</v>
      </c>
      <c r="H1106" s="66">
        <v>0.0</v>
      </c>
      <c r="I1106" s="66">
        <v>0.8855</v>
      </c>
      <c r="J1106" s="66">
        <v>0.568</v>
      </c>
      <c r="K1106" s="81">
        <f t="shared" si="2"/>
        <v>0.8855</v>
      </c>
      <c r="L1106" s="81">
        <f t="shared" si="3"/>
        <v>0.568</v>
      </c>
      <c r="M1106" s="66">
        <v>5.0</v>
      </c>
    </row>
    <row r="1107">
      <c r="A1107" s="82">
        <v>44704.0</v>
      </c>
      <c r="B1107" s="82">
        <v>44704.0</v>
      </c>
      <c r="C1107" s="66">
        <v>2379.0</v>
      </c>
      <c r="D1107" s="66" t="s">
        <v>198</v>
      </c>
      <c r="E1107" s="66">
        <v>0.0</v>
      </c>
      <c r="F1107" s="66" t="s">
        <v>204</v>
      </c>
      <c r="G1107" s="66">
        <f t="shared" si="12"/>
        <v>0</v>
      </c>
      <c r="H1107" s="66">
        <v>0.0</v>
      </c>
      <c r="I1107" s="66">
        <v>0.0835</v>
      </c>
      <c r="J1107" s="66">
        <v>0.053</v>
      </c>
      <c r="K1107" s="81">
        <f t="shared" si="2"/>
        <v>0.0835</v>
      </c>
      <c r="L1107" s="81">
        <f t="shared" si="3"/>
        <v>0.053</v>
      </c>
      <c r="M1107" s="66">
        <v>5.0</v>
      </c>
    </row>
    <row r="1108">
      <c r="A1108" s="82">
        <v>44704.0</v>
      </c>
      <c r="B1108" s="82">
        <v>44704.0</v>
      </c>
      <c r="C1108" s="66">
        <v>2010.0</v>
      </c>
      <c r="D1108" s="66" t="s">
        <v>198</v>
      </c>
      <c r="E1108" s="66">
        <v>0.0</v>
      </c>
      <c r="F1108" s="66" t="s">
        <v>204</v>
      </c>
      <c r="G1108" s="66">
        <f t="shared" si="12"/>
        <v>0</v>
      </c>
      <c r="H1108" s="66">
        <v>0.0</v>
      </c>
      <c r="I1108" s="66">
        <v>0.4428</v>
      </c>
      <c r="J1108" s="66">
        <v>0.25</v>
      </c>
      <c r="K1108" s="81">
        <f t="shared" si="2"/>
        <v>0.4428</v>
      </c>
      <c r="L1108" s="81">
        <f t="shared" si="3"/>
        <v>0.25</v>
      </c>
      <c r="M1108" s="66">
        <v>2.1</v>
      </c>
    </row>
    <row r="1109">
      <c r="A1109" s="82">
        <v>44704.0</v>
      </c>
      <c r="B1109" s="82">
        <v>44704.0</v>
      </c>
      <c r="C1109" s="66">
        <v>2375.0</v>
      </c>
      <c r="D1109" s="66" t="s">
        <v>198</v>
      </c>
      <c r="E1109" s="66">
        <v>0.0</v>
      </c>
      <c r="F1109" s="66" t="s">
        <v>204</v>
      </c>
      <c r="G1109" s="66">
        <f t="shared" si="12"/>
        <v>0</v>
      </c>
      <c r="H1109" s="66">
        <v>0.0</v>
      </c>
      <c r="I1109" s="66">
        <v>0.7954</v>
      </c>
      <c r="J1109" s="66">
        <v>0.454</v>
      </c>
      <c r="K1109" s="81">
        <f t="shared" si="2"/>
        <v>0.7954</v>
      </c>
      <c r="L1109" s="81">
        <f t="shared" si="3"/>
        <v>0.454</v>
      </c>
    </row>
    <row r="1110">
      <c r="A1110" s="82">
        <v>44704.0</v>
      </c>
      <c r="B1110" s="82">
        <v>44704.0</v>
      </c>
      <c r="C1110" s="66">
        <v>2379.0</v>
      </c>
      <c r="D1110" s="66" t="s">
        <v>198</v>
      </c>
      <c r="E1110" s="66">
        <v>1.0</v>
      </c>
      <c r="F1110" s="66" t="s">
        <v>204</v>
      </c>
      <c r="G1110" s="66">
        <f t="shared" si="12"/>
        <v>0</v>
      </c>
      <c r="H1110" s="66">
        <v>0.0</v>
      </c>
      <c r="I1110" s="66">
        <v>1.123</v>
      </c>
      <c r="J1110" s="66">
        <v>0.708</v>
      </c>
      <c r="K1110" s="81">
        <f t="shared" si="2"/>
        <v>1.123</v>
      </c>
      <c r="L1110" s="81">
        <f t="shared" si="3"/>
        <v>0.708</v>
      </c>
      <c r="M1110" s="66">
        <v>1.0</v>
      </c>
    </row>
    <row r="1111">
      <c r="A1111" s="82">
        <v>44704.0</v>
      </c>
      <c r="B1111" s="82">
        <v>44704.0</v>
      </c>
      <c r="C1111" s="66">
        <v>2381.0</v>
      </c>
      <c r="D1111" s="66" t="s">
        <v>198</v>
      </c>
      <c r="E1111" s="66">
        <v>0.0</v>
      </c>
      <c r="F1111" s="66" t="s">
        <v>205</v>
      </c>
      <c r="G1111" s="66">
        <f>if(E1080="old",1,0)</f>
        <v>0</v>
      </c>
      <c r="H1111" s="66">
        <v>0.0</v>
      </c>
      <c r="I1111" s="66">
        <v>1.7679</v>
      </c>
      <c r="J1111" s="66">
        <v>1.01</v>
      </c>
      <c r="K1111" s="81">
        <f t="shared" si="2"/>
        <v>1.7679</v>
      </c>
      <c r="L1111" s="81">
        <f t="shared" si="3"/>
        <v>1.01</v>
      </c>
      <c r="M1111" s="66">
        <v>1.0</v>
      </c>
    </row>
    <row r="1112">
      <c r="A1112" s="82">
        <v>44704.0</v>
      </c>
      <c r="B1112" s="82">
        <v>44704.0</v>
      </c>
      <c r="C1112" s="66">
        <v>2014.0</v>
      </c>
      <c r="D1112" s="66" t="s">
        <v>198</v>
      </c>
      <c r="E1112" s="66">
        <v>0.0</v>
      </c>
      <c r="F1112" s="66" t="s">
        <v>205</v>
      </c>
      <c r="G1112" s="66">
        <f t="shared" ref="G1112:G1526" si="13">if(E1112="old",1,0)</f>
        <v>0</v>
      </c>
      <c r="H1112" s="66">
        <v>0.0</v>
      </c>
      <c r="I1112" s="66">
        <v>3.716</v>
      </c>
      <c r="J1112" s="66">
        <v>2.174</v>
      </c>
      <c r="K1112" s="81">
        <f t="shared" si="2"/>
        <v>3.716</v>
      </c>
      <c r="L1112" s="81">
        <f t="shared" si="3"/>
        <v>2.174</v>
      </c>
      <c r="M1112" s="66">
        <v>1.0</v>
      </c>
    </row>
    <row r="1113">
      <c r="A1113" s="82">
        <v>44704.0</v>
      </c>
      <c r="B1113" s="82">
        <v>44704.0</v>
      </c>
      <c r="C1113" s="66">
        <v>2378.0</v>
      </c>
      <c r="D1113" s="66" t="s">
        <v>198</v>
      </c>
      <c r="E1113" s="66">
        <v>1.0</v>
      </c>
      <c r="F1113" s="66" t="s">
        <v>204</v>
      </c>
      <c r="G1113" s="66">
        <f t="shared" si="13"/>
        <v>0</v>
      </c>
      <c r="H1113" s="66">
        <v>0.0</v>
      </c>
      <c r="I1113" s="66">
        <v>0.2586</v>
      </c>
      <c r="J1113" s="66">
        <v>0.156</v>
      </c>
      <c r="K1113" s="81">
        <f t="shared" si="2"/>
        <v>0.2586</v>
      </c>
      <c r="L1113" s="81">
        <f t="shared" si="3"/>
        <v>0.156</v>
      </c>
      <c r="M1113" s="66">
        <v>1.0</v>
      </c>
    </row>
    <row r="1114">
      <c r="A1114" s="82">
        <v>44704.0</v>
      </c>
      <c r="B1114" s="82">
        <v>44704.0</v>
      </c>
      <c r="C1114" s="66">
        <v>2375.0</v>
      </c>
      <c r="D1114" s="66" t="s">
        <v>198</v>
      </c>
      <c r="E1114" s="66">
        <v>1.0</v>
      </c>
      <c r="F1114" s="66" t="s">
        <v>204</v>
      </c>
      <c r="G1114" s="66">
        <f t="shared" si="13"/>
        <v>0</v>
      </c>
      <c r="H1114" s="66">
        <v>0.0</v>
      </c>
      <c r="I1114" s="66">
        <v>0.8224</v>
      </c>
      <c r="J1114" s="66">
        <v>0.497</v>
      </c>
      <c r="K1114" s="81">
        <f t="shared" si="2"/>
        <v>0.8224</v>
      </c>
      <c r="L1114" s="81">
        <f t="shared" si="3"/>
        <v>0.497</v>
      </c>
      <c r="M1114" s="66">
        <v>5.0</v>
      </c>
    </row>
    <row r="1115">
      <c r="A1115" s="82">
        <v>44704.0</v>
      </c>
      <c r="B1115" s="82">
        <v>44704.0</v>
      </c>
      <c r="C1115" s="66">
        <v>2382.0</v>
      </c>
      <c r="D1115" s="66" t="s">
        <v>198</v>
      </c>
      <c r="E1115" s="66">
        <v>0.0</v>
      </c>
      <c r="F1115" s="66" t="s">
        <v>204</v>
      </c>
      <c r="G1115" s="66">
        <f t="shared" si="13"/>
        <v>0</v>
      </c>
      <c r="H1115" s="66">
        <v>0.0</v>
      </c>
      <c r="I1115" s="66">
        <v>0.5315</v>
      </c>
      <c r="J1115" s="66">
        <v>0.322</v>
      </c>
      <c r="K1115" s="81">
        <f t="shared" si="2"/>
        <v>0.5315</v>
      </c>
      <c r="L1115" s="81">
        <f t="shared" si="3"/>
        <v>0.322</v>
      </c>
      <c r="M1115" s="66">
        <v>4.0</v>
      </c>
    </row>
    <row r="1116">
      <c r="A1116" s="82">
        <v>44704.0</v>
      </c>
      <c r="B1116" s="82">
        <v>44704.0</v>
      </c>
      <c r="C1116" s="66">
        <v>2367.0</v>
      </c>
      <c r="D1116" s="66" t="s">
        <v>198</v>
      </c>
      <c r="E1116" s="66">
        <v>1.0</v>
      </c>
      <c r="F1116" s="66" t="s">
        <v>204</v>
      </c>
      <c r="G1116" s="66">
        <f t="shared" si="13"/>
        <v>0</v>
      </c>
      <c r="H1116" s="66">
        <v>0.0</v>
      </c>
      <c r="I1116" s="66">
        <v>0.3382</v>
      </c>
      <c r="J1116" s="66">
        <v>0.213</v>
      </c>
      <c r="K1116" s="81">
        <f t="shared" si="2"/>
        <v>0.3382</v>
      </c>
      <c r="L1116" s="81">
        <f t="shared" si="3"/>
        <v>0.213</v>
      </c>
    </row>
    <row r="1117">
      <c r="A1117" s="82">
        <v>44704.0</v>
      </c>
      <c r="B1117" s="82">
        <v>44704.0</v>
      </c>
      <c r="C1117" s="66">
        <v>2381.0</v>
      </c>
      <c r="D1117" s="66" t="s">
        <v>198</v>
      </c>
      <c r="E1117" s="66">
        <v>1.0</v>
      </c>
      <c r="F1117" s="66" t="s">
        <v>204</v>
      </c>
      <c r="G1117" s="66">
        <f t="shared" si="13"/>
        <v>0</v>
      </c>
      <c r="H1117" s="66">
        <v>0.0</v>
      </c>
      <c r="I1117" s="66">
        <v>0.907</v>
      </c>
      <c r="J1117" s="66">
        <v>0.545</v>
      </c>
      <c r="K1117" s="81">
        <f t="shared" si="2"/>
        <v>0.907</v>
      </c>
      <c r="L1117" s="81">
        <f t="shared" si="3"/>
        <v>0.545</v>
      </c>
    </row>
    <row r="1118">
      <c r="A1118" s="82">
        <v>44704.0</v>
      </c>
      <c r="B1118" s="82">
        <v>44704.0</v>
      </c>
      <c r="C1118" s="66">
        <v>2346.0</v>
      </c>
      <c r="D1118" s="66" t="s">
        <v>198</v>
      </c>
      <c r="E1118" s="66">
        <v>0.0</v>
      </c>
      <c r="F1118" s="66" t="s">
        <v>204</v>
      </c>
      <c r="G1118" s="66">
        <f t="shared" si="13"/>
        <v>0</v>
      </c>
      <c r="H1118" s="66">
        <v>0.0</v>
      </c>
      <c r="I1118" s="66">
        <v>0.2757</v>
      </c>
      <c r="J1118" s="66">
        <v>0.171</v>
      </c>
      <c r="K1118" s="81">
        <f t="shared" si="2"/>
        <v>0.2757</v>
      </c>
      <c r="L1118" s="81">
        <f t="shared" si="3"/>
        <v>0.171</v>
      </c>
    </row>
    <row r="1119">
      <c r="A1119" s="82">
        <v>44704.0</v>
      </c>
      <c r="B1119" s="82">
        <v>44704.0</v>
      </c>
      <c r="C1119" s="66">
        <v>2360.0</v>
      </c>
      <c r="D1119" s="66" t="s">
        <v>198</v>
      </c>
      <c r="E1119" s="66">
        <v>1.0</v>
      </c>
      <c r="F1119" s="66" t="s">
        <v>204</v>
      </c>
      <c r="G1119" s="66">
        <f t="shared" si="13"/>
        <v>0</v>
      </c>
      <c r="H1119" s="66">
        <v>0.0</v>
      </c>
      <c r="I1119" s="66">
        <v>0.7454</v>
      </c>
      <c r="J1119" s="66">
        <v>0.466</v>
      </c>
      <c r="K1119" s="81">
        <f t="shared" si="2"/>
        <v>0.7454</v>
      </c>
      <c r="L1119" s="81">
        <f t="shared" si="3"/>
        <v>0.466</v>
      </c>
    </row>
    <row r="1120">
      <c r="A1120" s="82">
        <v>44704.0</v>
      </c>
      <c r="B1120" s="82">
        <v>44704.0</v>
      </c>
      <c r="C1120" s="66">
        <v>2022.0</v>
      </c>
      <c r="D1120" s="66" t="s">
        <v>198</v>
      </c>
      <c r="E1120" s="66">
        <v>1.0</v>
      </c>
      <c r="F1120" s="66" t="s">
        <v>204</v>
      </c>
      <c r="G1120" s="66">
        <f t="shared" si="13"/>
        <v>0</v>
      </c>
      <c r="H1120" s="66">
        <v>0.0</v>
      </c>
      <c r="I1120" s="66">
        <v>0.7694</v>
      </c>
      <c r="J1120" s="66">
        <v>0.463</v>
      </c>
      <c r="K1120" s="81">
        <f t="shared" si="2"/>
        <v>0.7694</v>
      </c>
      <c r="L1120" s="81">
        <f t="shared" si="3"/>
        <v>0.463</v>
      </c>
    </row>
    <row r="1121">
      <c r="A1121" s="82">
        <v>44704.0</v>
      </c>
      <c r="B1121" s="82">
        <v>44704.0</v>
      </c>
      <c r="C1121" s="66">
        <v>2365.0</v>
      </c>
      <c r="D1121" s="66" t="s">
        <v>198</v>
      </c>
      <c r="E1121" s="66">
        <v>0.0</v>
      </c>
      <c r="F1121" s="66" t="s">
        <v>204</v>
      </c>
      <c r="G1121" s="66">
        <f t="shared" si="13"/>
        <v>0</v>
      </c>
      <c r="H1121" s="66">
        <v>0.0</v>
      </c>
      <c r="I1121" s="66">
        <v>0.102</v>
      </c>
      <c r="J1121" s="66">
        <v>0.059</v>
      </c>
      <c r="K1121" s="81">
        <f t="shared" si="2"/>
        <v>0.102</v>
      </c>
      <c r="L1121" s="81">
        <f t="shared" si="3"/>
        <v>0.059</v>
      </c>
    </row>
    <row r="1122">
      <c r="A1122" s="82">
        <v>44704.0</v>
      </c>
      <c r="B1122" s="82">
        <v>44704.0</v>
      </c>
      <c r="C1122" s="66">
        <v>2031.0</v>
      </c>
      <c r="D1122" s="66" t="s">
        <v>198</v>
      </c>
      <c r="E1122" s="66">
        <v>0.0</v>
      </c>
      <c r="F1122" s="66" t="s">
        <v>204</v>
      </c>
      <c r="G1122" s="66">
        <f t="shared" si="13"/>
        <v>0</v>
      </c>
      <c r="H1122" s="66">
        <v>0.0</v>
      </c>
      <c r="I1122" s="66">
        <v>0.214</v>
      </c>
      <c r="J1122" s="66">
        <v>0.129</v>
      </c>
      <c r="K1122" s="81">
        <f t="shared" si="2"/>
        <v>0.214</v>
      </c>
      <c r="L1122" s="81">
        <f t="shared" si="3"/>
        <v>0.129</v>
      </c>
    </row>
    <row r="1123">
      <c r="A1123" s="82">
        <v>44704.0</v>
      </c>
      <c r="B1123" s="82">
        <v>44704.0</v>
      </c>
      <c r="C1123" s="66">
        <v>2378.0</v>
      </c>
      <c r="D1123" s="66" t="s">
        <v>198</v>
      </c>
      <c r="E1123" s="66">
        <v>0.0</v>
      </c>
      <c r="F1123" s="66" t="s">
        <v>204</v>
      </c>
      <c r="G1123" s="66">
        <f t="shared" si="13"/>
        <v>0</v>
      </c>
      <c r="H1123" s="66">
        <v>0.0</v>
      </c>
      <c r="I1123" s="66">
        <v>0.1256</v>
      </c>
      <c r="J1123" s="66">
        <v>0.082</v>
      </c>
      <c r="K1123" s="81">
        <f t="shared" si="2"/>
        <v>0.1256</v>
      </c>
      <c r="L1123" s="81">
        <f t="shared" si="3"/>
        <v>0.082</v>
      </c>
    </row>
    <row r="1124">
      <c r="A1124" s="82">
        <v>44704.0</v>
      </c>
      <c r="B1124" s="82">
        <v>44704.0</v>
      </c>
      <c r="C1124" s="66">
        <v>2367.0</v>
      </c>
      <c r="D1124" s="66" t="s">
        <v>198</v>
      </c>
      <c r="E1124" s="66">
        <v>0.0</v>
      </c>
      <c r="F1124" s="66" t="s">
        <v>204</v>
      </c>
      <c r="G1124" s="66">
        <f t="shared" si="13"/>
        <v>0</v>
      </c>
      <c r="H1124" s="66">
        <v>0.0</v>
      </c>
      <c r="I1124" s="66">
        <v>0.2124</v>
      </c>
      <c r="J1124" s="66">
        <v>0.131</v>
      </c>
      <c r="K1124" s="81">
        <f t="shared" si="2"/>
        <v>0.2124</v>
      </c>
      <c r="L1124" s="81">
        <f t="shared" si="3"/>
        <v>0.131</v>
      </c>
    </row>
    <row r="1125">
      <c r="A1125" s="82">
        <v>44704.0</v>
      </c>
      <c r="B1125" s="82">
        <v>44704.0</v>
      </c>
      <c r="C1125" s="66">
        <v>2376.0</v>
      </c>
      <c r="D1125" s="66" t="s">
        <v>198</v>
      </c>
      <c r="E1125" s="66">
        <v>1.0</v>
      </c>
      <c r="F1125" s="66" t="s">
        <v>204</v>
      </c>
      <c r="G1125" s="66">
        <f t="shared" si="13"/>
        <v>0</v>
      </c>
      <c r="H1125" s="66">
        <v>0.0</v>
      </c>
      <c r="I1125" s="66">
        <v>0.6675</v>
      </c>
      <c r="J1125" s="66">
        <v>0.432</v>
      </c>
      <c r="K1125" s="81">
        <f t="shared" si="2"/>
        <v>0.6675</v>
      </c>
      <c r="L1125" s="81">
        <f t="shared" si="3"/>
        <v>0.432</v>
      </c>
    </row>
    <row r="1126">
      <c r="A1126" s="82">
        <v>44704.0</v>
      </c>
      <c r="B1126" s="82">
        <v>44704.0</v>
      </c>
      <c r="C1126" s="66">
        <v>2014.0</v>
      </c>
      <c r="D1126" s="66" t="s">
        <v>198</v>
      </c>
      <c r="E1126" s="66">
        <v>0.0</v>
      </c>
      <c r="F1126" s="66" t="s">
        <v>204</v>
      </c>
      <c r="G1126" s="66">
        <f t="shared" si="13"/>
        <v>0</v>
      </c>
      <c r="H1126" s="66">
        <v>0.0</v>
      </c>
      <c r="I1126" s="66">
        <v>0.7145</v>
      </c>
      <c r="J1126" s="66">
        <v>0.405</v>
      </c>
      <c r="K1126" s="81">
        <f t="shared" si="2"/>
        <v>0.7145</v>
      </c>
      <c r="L1126" s="81">
        <f t="shared" si="3"/>
        <v>0.405</v>
      </c>
    </row>
    <row r="1127">
      <c r="A1127" s="82">
        <v>44704.0</v>
      </c>
      <c r="B1127" s="82">
        <v>44704.0</v>
      </c>
      <c r="C1127" s="66">
        <v>2031.0</v>
      </c>
      <c r="D1127" s="66" t="s">
        <v>198</v>
      </c>
      <c r="E1127" s="66">
        <v>0.0</v>
      </c>
      <c r="F1127" s="66" t="s">
        <v>205</v>
      </c>
      <c r="G1127" s="66">
        <f t="shared" si="13"/>
        <v>0</v>
      </c>
      <c r="H1127" s="66">
        <v>0.0</v>
      </c>
      <c r="I1127" s="66">
        <v>2.2503</v>
      </c>
      <c r="J1127" s="66">
        <v>1.32</v>
      </c>
      <c r="K1127" s="81">
        <f t="shared" si="2"/>
        <v>2.2503</v>
      </c>
      <c r="L1127" s="81">
        <f t="shared" si="3"/>
        <v>1.32</v>
      </c>
    </row>
    <row r="1128">
      <c r="A1128" s="82">
        <v>44704.0</v>
      </c>
      <c r="B1128" s="82">
        <v>44704.0</v>
      </c>
      <c r="C1128" s="66">
        <v>2378.0</v>
      </c>
      <c r="D1128" s="66" t="s">
        <v>198</v>
      </c>
      <c r="E1128" s="66">
        <v>0.0</v>
      </c>
      <c r="F1128" s="66" t="s">
        <v>205</v>
      </c>
      <c r="G1128" s="66">
        <f t="shared" si="13"/>
        <v>0</v>
      </c>
      <c r="H1128" s="66">
        <v>0.0</v>
      </c>
      <c r="I1128" s="66">
        <v>1.2913</v>
      </c>
      <c r="J1128" s="66">
        <v>0.736</v>
      </c>
      <c r="K1128" s="81">
        <f t="shared" si="2"/>
        <v>1.2913</v>
      </c>
      <c r="L1128" s="81">
        <f t="shared" si="3"/>
        <v>0.736</v>
      </c>
    </row>
    <row r="1129">
      <c r="A1129" s="82">
        <v>44704.0</v>
      </c>
      <c r="B1129" s="82">
        <v>44704.0</v>
      </c>
      <c r="C1129" s="66">
        <v>2009.0</v>
      </c>
      <c r="D1129" s="66" t="s">
        <v>198</v>
      </c>
      <c r="E1129" s="66">
        <v>1.0</v>
      </c>
      <c r="F1129" s="66" t="s">
        <v>204</v>
      </c>
      <c r="G1129" s="66">
        <f t="shared" si="13"/>
        <v>0</v>
      </c>
      <c r="H1129" s="66">
        <v>0.0</v>
      </c>
      <c r="I1129" s="66">
        <v>0.7121</v>
      </c>
      <c r="J1129" s="66">
        <v>0.463</v>
      </c>
      <c r="K1129" s="81">
        <f t="shared" si="2"/>
        <v>0.7121</v>
      </c>
      <c r="L1129" s="81">
        <f t="shared" si="3"/>
        <v>0.463</v>
      </c>
    </row>
    <row r="1130">
      <c r="A1130" s="82">
        <v>44704.0</v>
      </c>
      <c r="B1130" s="82">
        <v>44704.0</v>
      </c>
      <c r="C1130" s="66">
        <v>2010.0</v>
      </c>
      <c r="D1130" s="66" t="s">
        <v>198</v>
      </c>
      <c r="E1130" s="66">
        <v>1.0</v>
      </c>
      <c r="F1130" s="66" t="s">
        <v>204</v>
      </c>
      <c r="G1130" s="66">
        <f t="shared" si="13"/>
        <v>0</v>
      </c>
      <c r="H1130" s="66">
        <v>0.0</v>
      </c>
      <c r="I1130" s="66">
        <v>0.9499</v>
      </c>
      <c r="J1130" s="66">
        <v>0.579</v>
      </c>
      <c r="K1130" s="81">
        <f t="shared" si="2"/>
        <v>0.9499</v>
      </c>
      <c r="L1130" s="81">
        <f t="shared" si="3"/>
        <v>0.579</v>
      </c>
    </row>
    <row r="1131">
      <c r="A1131" s="82">
        <v>44704.0</v>
      </c>
      <c r="B1131" s="82">
        <v>44704.0</v>
      </c>
      <c r="C1131" s="66">
        <v>2381.0</v>
      </c>
      <c r="D1131" s="66" t="s">
        <v>198</v>
      </c>
      <c r="E1131" s="66">
        <v>0.0</v>
      </c>
      <c r="F1131" s="66" t="s">
        <v>204</v>
      </c>
      <c r="G1131" s="66">
        <f t="shared" si="13"/>
        <v>0</v>
      </c>
      <c r="H1131" s="66">
        <v>0.0</v>
      </c>
      <c r="I1131" s="66">
        <v>0.153</v>
      </c>
      <c r="J1131" s="66">
        <v>0.089</v>
      </c>
      <c r="K1131" s="81">
        <f t="shared" si="2"/>
        <v>0.153</v>
      </c>
      <c r="L1131" s="81">
        <f t="shared" si="3"/>
        <v>0.089</v>
      </c>
    </row>
    <row r="1132">
      <c r="A1132" s="82">
        <v>44704.0</v>
      </c>
      <c r="B1132" s="82">
        <v>44704.0</v>
      </c>
      <c r="C1132" s="66">
        <v>2377.0</v>
      </c>
      <c r="D1132" s="66" t="s">
        <v>198</v>
      </c>
      <c r="E1132" s="66">
        <v>0.0</v>
      </c>
      <c r="F1132" s="66" t="s">
        <v>205</v>
      </c>
      <c r="G1132" s="66">
        <f t="shared" si="13"/>
        <v>0</v>
      </c>
      <c r="H1132" s="66">
        <v>0.0</v>
      </c>
      <c r="I1132" s="66">
        <v>0.1998</v>
      </c>
      <c r="J1132" s="66">
        <v>0.116</v>
      </c>
      <c r="K1132" s="81">
        <f t="shared" si="2"/>
        <v>0.1998</v>
      </c>
      <c r="L1132" s="81">
        <f t="shared" si="3"/>
        <v>0.116</v>
      </c>
    </row>
    <row r="1133">
      <c r="A1133" s="82">
        <v>44704.0</v>
      </c>
      <c r="B1133" s="82">
        <v>44704.0</v>
      </c>
      <c r="C1133" s="66">
        <v>2375.0</v>
      </c>
      <c r="D1133" s="66" t="s">
        <v>198</v>
      </c>
      <c r="E1133" s="66">
        <v>0.0</v>
      </c>
      <c r="F1133" s="66" t="s">
        <v>205</v>
      </c>
      <c r="G1133" s="66">
        <f t="shared" si="13"/>
        <v>0</v>
      </c>
      <c r="H1133" s="66">
        <v>0.0</v>
      </c>
      <c r="I1133" s="66">
        <v>2.7103</v>
      </c>
      <c r="J1133" s="66">
        <v>1.552</v>
      </c>
      <c r="K1133" s="81">
        <f t="shared" si="2"/>
        <v>2.7103</v>
      </c>
      <c r="L1133" s="81">
        <f t="shared" si="3"/>
        <v>1.552</v>
      </c>
    </row>
    <row r="1134">
      <c r="A1134" s="82">
        <v>44704.0</v>
      </c>
      <c r="B1134" s="82">
        <v>44704.0</v>
      </c>
      <c r="C1134" s="66">
        <v>2031.0</v>
      </c>
      <c r="D1134" s="66" t="s">
        <v>198</v>
      </c>
      <c r="E1134" s="66">
        <v>1.0</v>
      </c>
      <c r="F1134" s="66" t="s">
        <v>204</v>
      </c>
      <c r="G1134" s="66">
        <f t="shared" si="13"/>
        <v>0</v>
      </c>
      <c r="H1134" s="66">
        <v>0.0</v>
      </c>
      <c r="I1134" s="66">
        <v>0.3087</v>
      </c>
      <c r="J1134" s="66">
        <v>0.196</v>
      </c>
      <c r="K1134" s="81">
        <f t="shared" si="2"/>
        <v>0.3087</v>
      </c>
      <c r="L1134" s="81">
        <f t="shared" si="3"/>
        <v>0.196</v>
      </c>
    </row>
    <row r="1135">
      <c r="A1135" s="82">
        <v>44704.0</v>
      </c>
      <c r="B1135" s="82">
        <v>44704.0</v>
      </c>
      <c r="C1135" s="66">
        <v>2352.0</v>
      </c>
      <c r="D1135" s="66" t="s">
        <v>198</v>
      </c>
      <c r="E1135" s="66">
        <v>1.0</v>
      </c>
      <c r="F1135" s="66" t="s">
        <v>205</v>
      </c>
      <c r="G1135" s="66">
        <f t="shared" si="13"/>
        <v>0</v>
      </c>
      <c r="H1135" s="66">
        <v>0.0</v>
      </c>
      <c r="I1135" s="66">
        <v>1.0933</v>
      </c>
      <c r="J1135" s="66">
        <v>0.747</v>
      </c>
      <c r="K1135" s="81">
        <f t="shared" si="2"/>
        <v>1.0933</v>
      </c>
      <c r="L1135" s="81">
        <f t="shared" si="3"/>
        <v>0.747</v>
      </c>
    </row>
    <row r="1136">
      <c r="A1136" s="82">
        <v>44704.0</v>
      </c>
      <c r="B1136" s="82">
        <v>44704.0</v>
      </c>
      <c r="C1136" s="66">
        <v>2009.0</v>
      </c>
      <c r="D1136" s="66" t="s">
        <v>198</v>
      </c>
      <c r="E1136" s="66">
        <v>0.0</v>
      </c>
      <c r="F1136" s="66" t="s">
        <v>205</v>
      </c>
      <c r="G1136" s="66">
        <f t="shared" si="13"/>
        <v>0</v>
      </c>
      <c r="H1136" s="66">
        <v>0.0</v>
      </c>
      <c r="I1136" s="66">
        <v>2.0105</v>
      </c>
      <c r="J1136" s="66">
        <v>1.245</v>
      </c>
      <c r="K1136" s="81">
        <f t="shared" si="2"/>
        <v>2.0105</v>
      </c>
      <c r="L1136" s="81">
        <f t="shared" si="3"/>
        <v>1.245</v>
      </c>
    </row>
    <row r="1137">
      <c r="A1137" s="82">
        <v>44704.0</v>
      </c>
      <c r="B1137" s="82">
        <v>44704.0</v>
      </c>
      <c r="C1137" s="66">
        <v>2010.0</v>
      </c>
      <c r="D1137" s="66" t="s">
        <v>198</v>
      </c>
      <c r="E1137" s="66">
        <v>0.0</v>
      </c>
      <c r="F1137" s="66" t="s">
        <v>205</v>
      </c>
      <c r="G1137" s="66">
        <f t="shared" si="13"/>
        <v>0</v>
      </c>
      <c r="H1137" s="66">
        <v>0.0</v>
      </c>
      <c r="I1137" s="66">
        <v>2.4767</v>
      </c>
      <c r="J1137" s="66">
        <v>1.307</v>
      </c>
      <c r="K1137" s="81">
        <f t="shared" si="2"/>
        <v>2.4767</v>
      </c>
      <c r="L1137" s="81">
        <f t="shared" si="3"/>
        <v>1.307</v>
      </c>
    </row>
    <row r="1138">
      <c r="A1138" s="82">
        <v>44704.0</v>
      </c>
      <c r="B1138" s="82">
        <v>44704.0</v>
      </c>
      <c r="C1138" s="66">
        <v>2346.0</v>
      </c>
      <c r="D1138" s="66" t="s">
        <v>198</v>
      </c>
      <c r="E1138" s="66">
        <v>1.0</v>
      </c>
      <c r="F1138" s="66" t="s">
        <v>204</v>
      </c>
      <c r="G1138" s="66">
        <f t="shared" si="13"/>
        <v>0</v>
      </c>
      <c r="H1138" s="66">
        <v>0.0</v>
      </c>
      <c r="I1138" s="66">
        <v>2.1412</v>
      </c>
      <c r="J1138" s="66">
        <v>1.37</v>
      </c>
      <c r="K1138" s="81">
        <f t="shared" si="2"/>
        <v>2.1412</v>
      </c>
      <c r="L1138" s="81">
        <f t="shared" si="3"/>
        <v>1.37</v>
      </c>
    </row>
    <row r="1139">
      <c r="A1139" s="82">
        <v>44704.0</v>
      </c>
      <c r="B1139" s="82">
        <v>44704.0</v>
      </c>
      <c r="C1139" s="66">
        <v>2367.0</v>
      </c>
      <c r="D1139" s="66" t="s">
        <v>198</v>
      </c>
      <c r="E1139" s="66">
        <v>0.0</v>
      </c>
      <c r="F1139" s="66" t="s">
        <v>205</v>
      </c>
      <c r="G1139" s="66">
        <f t="shared" si="13"/>
        <v>0</v>
      </c>
      <c r="H1139" s="66">
        <v>0.0</v>
      </c>
      <c r="I1139" s="66">
        <v>1.0934</v>
      </c>
      <c r="J1139" s="66">
        <v>0.625</v>
      </c>
      <c r="K1139" s="81">
        <f t="shared" si="2"/>
        <v>1.0934</v>
      </c>
      <c r="L1139" s="81">
        <f t="shared" si="3"/>
        <v>0.625</v>
      </c>
    </row>
    <row r="1140">
      <c r="A1140" s="82">
        <v>44704.0</v>
      </c>
      <c r="B1140" s="82">
        <v>44704.0</v>
      </c>
      <c r="C1140" s="66">
        <v>2352.0</v>
      </c>
      <c r="D1140" s="66" t="s">
        <v>198</v>
      </c>
      <c r="E1140" s="66">
        <v>1.0</v>
      </c>
      <c r="F1140" s="66" t="s">
        <v>204</v>
      </c>
      <c r="G1140" s="66">
        <f t="shared" si="13"/>
        <v>0</v>
      </c>
      <c r="H1140" s="66">
        <v>0.0</v>
      </c>
      <c r="I1140" s="66">
        <v>0.3944</v>
      </c>
      <c r="J1140" s="66">
        <v>0.26</v>
      </c>
      <c r="K1140" s="81">
        <f t="shared" si="2"/>
        <v>0.3944</v>
      </c>
      <c r="L1140" s="81">
        <f t="shared" si="3"/>
        <v>0.26</v>
      </c>
    </row>
    <row r="1141">
      <c r="A1141" s="82">
        <v>44704.0</v>
      </c>
      <c r="B1141" s="82">
        <v>44704.0</v>
      </c>
      <c r="C1141" s="66">
        <v>2022.0</v>
      </c>
      <c r="D1141" s="66" t="s">
        <v>198</v>
      </c>
      <c r="E1141" s="66">
        <v>0.0</v>
      </c>
      <c r="F1141" s="66" t="s">
        <v>204</v>
      </c>
      <c r="G1141" s="66">
        <f t="shared" si="13"/>
        <v>0</v>
      </c>
      <c r="H1141" s="66">
        <v>0.0</v>
      </c>
      <c r="I1141" s="66">
        <v>0.0266</v>
      </c>
      <c r="J1141" s="66">
        <v>0.013</v>
      </c>
      <c r="K1141" s="81">
        <f t="shared" si="2"/>
        <v>0.0266</v>
      </c>
      <c r="L1141" s="81">
        <f t="shared" si="3"/>
        <v>0.013</v>
      </c>
    </row>
    <row r="1142">
      <c r="A1142" s="82">
        <v>44704.0</v>
      </c>
      <c r="B1142" s="82">
        <v>44704.0</v>
      </c>
      <c r="C1142" s="66">
        <v>2354.0</v>
      </c>
      <c r="D1142" s="66" t="s">
        <v>198</v>
      </c>
      <c r="E1142" s="66">
        <v>1.0</v>
      </c>
      <c r="F1142" s="66" t="s">
        <v>205</v>
      </c>
      <c r="G1142" s="66">
        <f t="shared" si="13"/>
        <v>0</v>
      </c>
      <c r="H1142" s="66">
        <v>0.0</v>
      </c>
      <c r="I1142" s="66">
        <v>2.4775</v>
      </c>
      <c r="J1142" s="66">
        <v>1.601</v>
      </c>
      <c r="K1142" s="81">
        <f t="shared" si="2"/>
        <v>2.4775</v>
      </c>
      <c r="L1142" s="81">
        <f t="shared" si="3"/>
        <v>1.601</v>
      </c>
    </row>
    <row r="1143">
      <c r="A1143" s="82">
        <v>44704.0</v>
      </c>
      <c r="B1143" s="82">
        <v>44704.0</v>
      </c>
      <c r="C1143" s="66">
        <v>2354.0</v>
      </c>
      <c r="D1143" s="66" t="s">
        <v>198</v>
      </c>
      <c r="E1143" s="66">
        <v>1.0</v>
      </c>
      <c r="F1143" s="66" t="s">
        <v>205</v>
      </c>
      <c r="G1143" s="66">
        <f t="shared" si="13"/>
        <v>0</v>
      </c>
      <c r="H1143" s="66">
        <v>0.0</v>
      </c>
      <c r="I1143" s="66">
        <v>2.0428</v>
      </c>
      <c r="J1143" s="66">
        <v>1.296</v>
      </c>
      <c r="K1143" s="81">
        <f t="shared" si="2"/>
        <v>2.0428</v>
      </c>
      <c r="L1143" s="81">
        <f t="shared" si="3"/>
        <v>1.296</v>
      </c>
    </row>
    <row r="1144">
      <c r="A1144" s="82">
        <v>44704.0</v>
      </c>
      <c r="B1144" s="82">
        <v>44704.0</v>
      </c>
      <c r="C1144" s="66">
        <v>2376.0</v>
      </c>
      <c r="D1144" s="66" t="s">
        <v>198</v>
      </c>
      <c r="E1144" s="66">
        <v>1.0</v>
      </c>
      <c r="F1144" s="66" t="s">
        <v>205</v>
      </c>
      <c r="G1144" s="66">
        <f t="shared" si="13"/>
        <v>0</v>
      </c>
      <c r="H1144" s="66">
        <v>0.0</v>
      </c>
      <c r="I1144" s="66">
        <v>4.5189</v>
      </c>
      <c r="J1144" s="66">
        <v>2.802</v>
      </c>
      <c r="K1144" s="81">
        <f t="shared" si="2"/>
        <v>4.5189</v>
      </c>
      <c r="L1144" s="81">
        <f t="shared" si="3"/>
        <v>2.802</v>
      </c>
    </row>
    <row r="1145">
      <c r="A1145" s="82">
        <v>44704.0</v>
      </c>
      <c r="B1145" s="82">
        <v>44704.0</v>
      </c>
      <c r="C1145" s="66">
        <v>2345.0</v>
      </c>
      <c r="D1145" s="66" t="s">
        <v>198</v>
      </c>
      <c r="E1145" s="66">
        <v>1.0</v>
      </c>
      <c r="F1145" s="66" t="s">
        <v>205</v>
      </c>
      <c r="G1145" s="66">
        <f t="shared" si="13"/>
        <v>0</v>
      </c>
      <c r="H1145" s="66">
        <v>0.0</v>
      </c>
      <c r="I1145" s="66">
        <v>2.3418</v>
      </c>
      <c r="J1145" s="66">
        <v>1.464</v>
      </c>
      <c r="K1145" s="81">
        <f t="shared" si="2"/>
        <v>2.3418</v>
      </c>
      <c r="L1145" s="81">
        <f t="shared" si="3"/>
        <v>1.464</v>
      </c>
    </row>
    <row r="1146">
      <c r="A1146" s="82">
        <v>44704.0</v>
      </c>
      <c r="B1146" s="82">
        <v>44704.0</v>
      </c>
      <c r="C1146" s="66">
        <v>2365.0</v>
      </c>
      <c r="D1146" s="66" t="s">
        <v>198</v>
      </c>
      <c r="E1146" s="66">
        <v>0.0</v>
      </c>
      <c r="F1146" s="66" t="s">
        <v>205</v>
      </c>
      <c r="G1146" s="66">
        <f t="shared" si="13"/>
        <v>0</v>
      </c>
      <c r="H1146" s="66">
        <v>0.0</v>
      </c>
      <c r="I1146" s="66">
        <v>0.9929</v>
      </c>
      <c r="J1146" s="66">
        <v>0.573</v>
      </c>
      <c r="K1146" s="81">
        <f t="shared" si="2"/>
        <v>0.9929</v>
      </c>
      <c r="L1146" s="81">
        <f t="shared" si="3"/>
        <v>0.573</v>
      </c>
    </row>
    <row r="1147">
      <c r="A1147" s="82">
        <v>44704.0</v>
      </c>
      <c r="B1147" s="82">
        <v>44704.0</v>
      </c>
      <c r="C1147" s="66">
        <v>2365.0</v>
      </c>
      <c r="D1147" s="66" t="s">
        <v>198</v>
      </c>
      <c r="E1147" s="66">
        <v>1.0</v>
      </c>
      <c r="F1147" s="66" t="s">
        <v>204</v>
      </c>
      <c r="G1147" s="66">
        <f t="shared" si="13"/>
        <v>0</v>
      </c>
      <c r="H1147" s="66">
        <v>0.0</v>
      </c>
      <c r="I1147" s="66">
        <v>0.1371</v>
      </c>
      <c r="J1147" s="66">
        <v>0.088</v>
      </c>
      <c r="K1147" s="81">
        <f t="shared" si="2"/>
        <v>0.1371</v>
      </c>
      <c r="L1147" s="81">
        <f t="shared" si="3"/>
        <v>0.088</v>
      </c>
    </row>
    <row r="1148">
      <c r="A1148" s="82">
        <v>44704.0</v>
      </c>
      <c r="B1148" s="82">
        <v>44704.0</v>
      </c>
      <c r="C1148" s="66">
        <v>2360.0</v>
      </c>
      <c r="D1148" s="66" t="s">
        <v>198</v>
      </c>
      <c r="E1148" s="66">
        <v>0.0</v>
      </c>
      <c r="F1148" s="66" t="s">
        <v>204</v>
      </c>
      <c r="G1148" s="66">
        <f t="shared" si="13"/>
        <v>0</v>
      </c>
      <c r="H1148" s="66">
        <v>0.0</v>
      </c>
      <c r="I1148" s="66">
        <v>0.1641</v>
      </c>
      <c r="J1148" s="66">
        <v>0.103</v>
      </c>
      <c r="K1148" s="81">
        <f t="shared" si="2"/>
        <v>0.1641</v>
      </c>
      <c r="L1148" s="81">
        <f t="shared" si="3"/>
        <v>0.103</v>
      </c>
    </row>
    <row r="1149">
      <c r="A1149" s="82">
        <v>44705.0</v>
      </c>
      <c r="B1149" s="82">
        <v>44705.0</v>
      </c>
      <c r="C1149" s="66" t="s">
        <v>213</v>
      </c>
      <c r="D1149" s="66" t="s">
        <v>198</v>
      </c>
      <c r="E1149" s="66">
        <v>0.0</v>
      </c>
      <c r="F1149" s="66" t="s">
        <v>204</v>
      </c>
      <c r="G1149" s="66">
        <f t="shared" si="13"/>
        <v>0</v>
      </c>
      <c r="H1149" s="66">
        <v>0.0</v>
      </c>
      <c r="I1149" s="66">
        <v>2.9333</v>
      </c>
      <c r="J1149" s="66">
        <v>0.488</v>
      </c>
      <c r="K1149" s="81">
        <f t="shared" si="2"/>
        <v>2.9333</v>
      </c>
      <c r="L1149" s="81">
        <f t="shared" si="3"/>
        <v>0.488</v>
      </c>
    </row>
    <row r="1150">
      <c r="A1150" s="82">
        <v>44705.0</v>
      </c>
      <c r="B1150" s="82">
        <v>44705.0</v>
      </c>
      <c r="C1150" s="66" t="s">
        <v>95</v>
      </c>
      <c r="D1150" s="66" t="s">
        <v>198</v>
      </c>
      <c r="E1150" s="66">
        <v>0.0</v>
      </c>
      <c r="F1150" s="66" t="s">
        <v>204</v>
      </c>
      <c r="G1150" s="66">
        <f t="shared" si="13"/>
        <v>0</v>
      </c>
      <c r="H1150" s="66">
        <v>0.0</v>
      </c>
      <c r="I1150" s="66">
        <v>2.177</v>
      </c>
      <c r="J1150" s="66">
        <v>0.421</v>
      </c>
      <c r="K1150" s="81">
        <f t="shared" si="2"/>
        <v>2.177</v>
      </c>
      <c r="L1150" s="81">
        <f t="shared" si="3"/>
        <v>0.421</v>
      </c>
    </row>
    <row r="1151">
      <c r="A1151" s="82">
        <v>44705.0</v>
      </c>
      <c r="B1151" s="82">
        <v>44705.0</v>
      </c>
      <c r="C1151" s="66" t="s">
        <v>213</v>
      </c>
      <c r="D1151" s="66" t="s">
        <v>198</v>
      </c>
      <c r="E1151" s="66">
        <v>0.0</v>
      </c>
      <c r="F1151" s="66" t="s">
        <v>205</v>
      </c>
      <c r="G1151" s="66">
        <f t="shared" si="13"/>
        <v>0</v>
      </c>
      <c r="H1151" s="66">
        <v>0.0</v>
      </c>
      <c r="I1151" s="66">
        <v>7.16</v>
      </c>
      <c r="J1151" s="66">
        <v>1.891</v>
      </c>
      <c r="K1151" s="81">
        <f t="shared" si="2"/>
        <v>7.16</v>
      </c>
      <c r="L1151" s="81">
        <f t="shared" si="3"/>
        <v>1.891</v>
      </c>
    </row>
    <row r="1152">
      <c r="A1152" s="82">
        <v>44705.0</v>
      </c>
      <c r="B1152" s="82">
        <v>44705.0</v>
      </c>
      <c r="C1152" s="66" t="s">
        <v>212</v>
      </c>
      <c r="D1152" s="66" t="s">
        <v>198</v>
      </c>
      <c r="E1152" s="66">
        <v>0.0</v>
      </c>
      <c r="F1152" s="66" t="s">
        <v>204</v>
      </c>
      <c r="G1152" s="66">
        <f t="shared" si="13"/>
        <v>0</v>
      </c>
      <c r="H1152" s="66">
        <v>0.0</v>
      </c>
      <c r="I1152" s="66">
        <v>1.7686</v>
      </c>
      <c r="J1152" s="66">
        <v>0.232</v>
      </c>
      <c r="K1152" s="81">
        <f t="shared" si="2"/>
        <v>1.7686</v>
      </c>
      <c r="L1152" s="81">
        <f t="shared" si="3"/>
        <v>0.232</v>
      </c>
    </row>
    <row r="1153">
      <c r="A1153" s="82">
        <v>44705.0</v>
      </c>
      <c r="B1153" s="82">
        <v>44705.0</v>
      </c>
      <c r="C1153" s="66" t="s">
        <v>212</v>
      </c>
      <c r="D1153" s="66" t="s">
        <v>198</v>
      </c>
      <c r="E1153" s="66">
        <v>0.0</v>
      </c>
      <c r="F1153" s="66" t="s">
        <v>204</v>
      </c>
      <c r="G1153" s="66">
        <f t="shared" si="13"/>
        <v>0</v>
      </c>
      <c r="H1153" s="66">
        <v>0.0</v>
      </c>
      <c r="I1153" s="66">
        <v>2.107</v>
      </c>
      <c r="J1153" s="66">
        <v>0.352</v>
      </c>
      <c r="K1153" s="81">
        <f t="shared" si="2"/>
        <v>2.107</v>
      </c>
      <c r="L1153" s="81">
        <f t="shared" si="3"/>
        <v>0.352</v>
      </c>
    </row>
    <row r="1154">
      <c r="A1154" s="82">
        <v>44705.0</v>
      </c>
      <c r="B1154" s="82">
        <v>44705.0</v>
      </c>
      <c r="C1154" s="66" t="s">
        <v>95</v>
      </c>
      <c r="D1154" s="66" t="s">
        <v>198</v>
      </c>
      <c r="E1154" s="66">
        <v>0.0</v>
      </c>
      <c r="F1154" s="66" t="s">
        <v>204</v>
      </c>
      <c r="G1154" s="66">
        <f t="shared" si="13"/>
        <v>0</v>
      </c>
      <c r="H1154" s="66">
        <v>0.0</v>
      </c>
      <c r="I1154" s="66">
        <v>1.6819</v>
      </c>
      <c r="J1154" s="66">
        <v>0.242</v>
      </c>
      <c r="K1154" s="81">
        <f t="shared" si="2"/>
        <v>1.6819</v>
      </c>
      <c r="L1154" s="81">
        <f t="shared" si="3"/>
        <v>0.242</v>
      </c>
    </row>
    <row r="1155">
      <c r="A1155" s="82">
        <v>44705.0</v>
      </c>
      <c r="B1155" s="82">
        <v>44705.0</v>
      </c>
      <c r="C1155" s="66" t="s">
        <v>95</v>
      </c>
      <c r="D1155" s="66" t="s">
        <v>198</v>
      </c>
      <c r="E1155" s="66">
        <v>0.0</v>
      </c>
      <c r="F1155" s="66" t="s">
        <v>205</v>
      </c>
      <c r="G1155" s="66">
        <f t="shared" si="13"/>
        <v>0</v>
      </c>
      <c r="H1155" s="66">
        <v>0.0</v>
      </c>
      <c r="I1155" s="66">
        <v>4.079</v>
      </c>
      <c r="J1155" s="66">
        <v>1.206</v>
      </c>
      <c r="K1155" s="81">
        <f t="shared" si="2"/>
        <v>4.079</v>
      </c>
      <c r="L1155" s="81">
        <f t="shared" si="3"/>
        <v>1.206</v>
      </c>
    </row>
    <row r="1156">
      <c r="A1156" s="82">
        <v>44705.0</v>
      </c>
      <c r="B1156" s="82">
        <v>44705.0</v>
      </c>
      <c r="C1156" s="66" t="s">
        <v>213</v>
      </c>
      <c r="D1156" s="66" t="s">
        <v>198</v>
      </c>
      <c r="E1156" s="66">
        <v>0.0</v>
      </c>
      <c r="F1156" s="66" t="s">
        <v>205</v>
      </c>
      <c r="G1156" s="66">
        <f t="shared" si="13"/>
        <v>0</v>
      </c>
      <c r="H1156" s="66">
        <v>0.0</v>
      </c>
      <c r="I1156" s="66">
        <v>7.388</v>
      </c>
      <c r="J1156" s="66">
        <v>1.63</v>
      </c>
      <c r="K1156" s="81">
        <f t="shared" si="2"/>
        <v>7.388</v>
      </c>
      <c r="L1156" s="81">
        <f t="shared" si="3"/>
        <v>1.63</v>
      </c>
    </row>
    <row r="1157">
      <c r="A1157" s="82">
        <v>44705.0</v>
      </c>
      <c r="B1157" s="82">
        <v>44705.0</v>
      </c>
      <c r="C1157" s="66" t="s">
        <v>213</v>
      </c>
      <c r="D1157" s="66" t="s">
        <v>198</v>
      </c>
      <c r="E1157" s="66">
        <v>0.0</v>
      </c>
      <c r="F1157" s="66" t="s">
        <v>204</v>
      </c>
      <c r="G1157" s="66">
        <f t="shared" si="13"/>
        <v>0</v>
      </c>
      <c r="H1157" s="66">
        <v>0.0</v>
      </c>
      <c r="I1157" s="66">
        <v>3.3835</v>
      </c>
      <c r="J1157" s="66">
        <v>0.579</v>
      </c>
      <c r="K1157" s="81">
        <f t="shared" si="2"/>
        <v>3.3835</v>
      </c>
      <c r="L1157" s="81">
        <f t="shared" si="3"/>
        <v>0.579</v>
      </c>
    </row>
    <row r="1158">
      <c r="A1158" s="82">
        <v>44705.0</v>
      </c>
      <c r="B1158" s="82">
        <v>44705.0</v>
      </c>
      <c r="C1158" s="66" t="s">
        <v>213</v>
      </c>
      <c r="D1158" s="66" t="s">
        <v>198</v>
      </c>
      <c r="E1158" s="66">
        <v>0.0</v>
      </c>
      <c r="F1158" s="66" t="s">
        <v>204</v>
      </c>
      <c r="G1158" s="66">
        <f t="shared" si="13"/>
        <v>0</v>
      </c>
      <c r="H1158" s="66">
        <v>0.0</v>
      </c>
      <c r="I1158" s="66">
        <v>2.8246</v>
      </c>
      <c r="J1158" s="66">
        <v>0.47</v>
      </c>
      <c r="K1158" s="81">
        <f t="shared" si="2"/>
        <v>2.8246</v>
      </c>
      <c r="L1158" s="81">
        <f t="shared" si="3"/>
        <v>0.47</v>
      </c>
    </row>
    <row r="1159">
      <c r="A1159" s="82">
        <v>44705.0</v>
      </c>
      <c r="B1159" s="82">
        <v>44705.0</v>
      </c>
      <c r="C1159" s="66" t="s">
        <v>213</v>
      </c>
      <c r="D1159" s="66" t="s">
        <v>198</v>
      </c>
      <c r="E1159" s="66">
        <v>0.0</v>
      </c>
      <c r="F1159" s="66" t="s">
        <v>204</v>
      </c>
      <c r="G1159" s="66">
        <f t="shared" si="13"/>
        <v>0</v>
      </c>
      <c r="H1159" s="66">
        <v>0.0</v>
      </c>
      <c r="I1159" s="66">
        <v>2.7036</v>
      </c>
      <c r="J1159" s="66">
        <v>0.347</v>
      </c>
      <c r="K1159" s="81">
        <f t="shared" si="2"/>
        <v>2.7036</v>
      </c>
      <c r="L1159" s="81">
        <f t="shared" si="3"/>
        <v>0.347</v>
      </c>
    </row>
    <row r="1160">
      <c r="A1160" s="82">
        <v>44705.0</v>
      </c>
      <c r="B1160" s="82">
        <v>44705.0</v>
      </c>
      <c r="C1160" s="66" t="s">
        <v>95</v>
      </c>
      <c r="D1160" s="66" t="s">
        <v>198</v>
      </c>
      <c r="E1160" s="66">
        <v>0.0</v>
      </c>
      <c r="F1160" s="66" t="s">
        <v>205</v>
      </c>
      <c r="G1160" s="66">
        <f t="shared" si="13"/>
        <v>0</v>
      </c>
      <c r="H1160" s="66">
        <v>0.0</v>
      </c>
      <c r="I1160" s="66">
        <v>3.6718</v>
      </c>
      <c r="J1160" s="66">
        <v>1.028</v>
      </c>
      <c r="K1160" s="81">
        <f t="shared" si="2"/>
        <v>3.6718</v>
      </c>
      <c r="L1160" s="81">
        <f t="shared" si="3"/>
        <v>1.028</v>
      </c>
    </row>
    <row r="1161">
      <c r="A1161" s="82">
        <v>44705.0</v>
      </c>
      <c r="B1161" s="82">
        <v>44705.0</v>
      </c>
      <c r="C1161" s="66" t="s">
        <v>95</v>
      </c>
      <c r="D1161" s="66" t="s">
        <v>198</v>
      </c>
      <c r="E1161" s="66">
        <v>0.0</v>
      </c>
      <c r="F1161" s="66" t="s">
        <v>205</v>
      </c>
      <c r="G1161" s="66">
        <f t="shared" si="13"/>
        <v>0</v>
      </c>
      <c r="H1161" s="66">
        <v>0.0</v>
      </c>
      <c r="I1161" s="66">
        <v>3.8396</v>
      </c>
      <c r="J1161" s="66">
        <v>1.329</v>
      </c>
      <c r="K1161" s="81">
        <f t="shared" si="2"/>
        <v>3.8396</v>
      </c>
      <c r="L1161" s="81">
        <f t="shared" si="3"/>
        <v>1.329</v>
      </c>
    </row>
    <row r="1162">
      <c r="A1162" s="82">
        <v>44705.0</v>
      </c>
      <c r="B1162" s="82">
        <v>44705.0</v>
      </c>
      <c r="C1162" s="66" t="s">
        <v>213</v>
      </c>
      <c r="D1162" s="66" t="s">
        <v>198</v>
      </c>
      <c r="E1162" s="66">
        <v>0.0</v>
      </c>
      <c r="F1162" s="66" t="s">
        <v>205</v>
      </c>
      <c r="G1162" s="66">
        <f t="shared" si="13"/>
        <v>0</v>
      </c>
      <c r="H1162" s="66">
        <v>0.0</v>
      </c>
      <c r="I1162" s="66">
        <v>2.083</v>
      </c>
      <c r="J1162" s="66">
        <v>7.5051</v>
      </c>
      <c r="K1162" s="81">
        <f t="shared" si="2"/>
        <v>2.083</v>
      </c>
      <c r="L1162" s="81">
        <f t="shared" si="3"/>
        <v>7.5051</v>
      </c>
    </row>
    <row r="1163">
      <c r="A1163" s="82">
        <v>44705.0</v>
      </c>
      <c r="B1163" s="82">
        <v>44705.0</v>
      </c>
      <c r="C1163" s="66" t="s">
        <v>212</v>
      </c>
      <c r="D1163" s="66" t="s">
        <v>198</v>
      </c>
      <c r="E1163" s="66">
        <v>0.0</v>
      </c>
      <c r="F1163" s="66" t="s">
        <v>205</v>
      </c>
      <c r="G1163" s="66">
        <f t="shared" si="13"/>
        <v>0</v>
      </c>
      <c r="H1163" s="66">
        <v>0.0</v>
      </c>
      <c r="I1163" s="66">
        <v>3.6192</v>
      </c>
      <c r="J1163" s="66">
        <v>1.092</v>
      </c>
      <c r="K1163" s="81">
        <f t="shared" si="2"/>
        <v>3.6192</v>
      </c>
      <c r="L1163" s="81">
        <f t="shared" si="3"/>
        <v>1.092</v>
      </c>
    </row>
    <row r="1164">
      <c r="A1164" s="82">
        <v>44705.0</v>
      </c>
      <c r="B1164" s="82">
        <v>44705.0</v>
      </c>
      <c r="C1164" s="66" t="s">
        <v>212</v>
      </c>
      <c r="D1164" s="66" t="s">
        <v>198</v>
      </c>
      <c r="E1164" s="66">
        <v>0.0</v>
      </c>
      <c r="F1164" s="66" t="s">
        <v>205</v>
      </c>
      <c r="G1164" s="66">
        <f t="shared" si="13"/>
        <v>0</v>
      </c>
      <c r="H1164" s="66">
        <v>0.0</v>
      </c>
      <c r="I1164" s="66">
        <v>4.6834</v>
      </c>
      <c r="J1164" s="66">
        <v>1.269</v>
      </c>
      <c r="K1164" s="81">
        <f t="shared" si="2"/>
        <v>4.6834</v>
      </c>
      <c r="L1164" s="81">
        <f t="shared" si="3"/>
        <v>1.269</v>
      </c>
    </row>
    <row r="1165">
      <c r="A1165" s="82">
        <v>44705.0</v>
      </c>
      <c r="B1165" s="82">
        <v>44705.0</v>
      </c>
      <c r="C1165" s="66" t="s">
        <v>95</v>
      </c>
      <c r="D1165" s="66" t="s">
        <v>198</v>
      </c>
      <c r="E1165" s="66">
        <v>0.0</v>
      </c>
      <c r="F1165" s="66" t="s">
        <v>205</v>
      </c>
      <c r="G1165" s="66">
        <f t="shared" si="13"/>
        <v>0</v>
      </c>
      <c r="H1165" s="66">
        <v>0.0</v>
      </c>
      <c r="I1165" s="66">
        <v>3.3666</v>
      </c>
      <c r="J1165" s="66">
        <v>0.953</v>
      </c>
      <c r="K1165" s="81">
        <f t="shared" si="2"/>
        <v>3.3666</v>
      </c>
      <c r="L1165" s="81">
        <f t="shared" si="3"/>
        <v>0.953</v>
      </c>
    </row>
    <row r="1166">
      <c r="A1166" s="82">
        <v>44705.0</v>
      </c>
      <c r="B1166" s="82">
        <v>44705.0</v>
      </c>
      <c r="C1166" s="66" t="s">
        <v>212</v>
      </c>
      <c r="D1166" s="66" t="s">
        <v>198</v>
      </c>
      <c r="E1166" s="66">
        <v>0.0</v>
      </c>
      <c r="F1166" s="66" t="s">
        <v>205</v>
      </c>
      <c r="G1166" s="66">
        <f t="shared" si="13"/>
        <v>0</v>
      </c>
      <c r="H1166" s="66">
        <v>0.0</v>
      </c>
      <c r="I1166" s="66">
        <v>4.3504</v>
      </c>
      <c r="J1166" s="66">
        <v>1.296</v>
      </c>
      <c r="K1166" s="81">
        <f t="shared" si="2"/>
        <v>4.3504</v>
      </c>
      <c r="L1166" s="81">
        <f t="shared" si="3"/>
        <v>1.296</v>
      </c>
    </row>
    <row r="1167">
      <c r="A1167" s="82">
        <v>44705.0</v>
      </c>
      <c r="B1167" s="82">
        <v>44705.0</v>
      </c>
      <c r="C1167" s="66" t="s">
        <v>95</v>
      </c>
      <c r="D1167" s="66" t="s">
        <v>198</v>
      </c>
      <c r="E1167" s="66">
        <v>0.0</v>
      </c>
      <c r="F1167" s="66" t="s">
        <v>204</v>
      </c>
      <c r="G1167" s="66">
        <f t="shared" si="13"/>
        <v>0</v>
      </c>
      <c r="H1167" s="66">
        <v>0.0</v>
      </c>
      <c r="I1167" s="66">
        <v>1.916</v>
      </c>
      <c r="J1167" s="66">
        <v>0.397</v>
      </c>
      <c r="K1167" s="81">
        <f t="shared" si="2"/>
        <v>1.916</v>
      </c>
      <c r="L1167" s="81">
        <f t="shared" si="3"/>
        <v>0.397</v>
      </c>
    </row>
    <row r="1168">
      <c r="A1168" s="82">
        <v>44705.0</v>
      </c>
      <c r="B1168" s="82">
        <v>44705.0</v>
      </c>
      <c r="C1168" s="66" t="s">
        <v>95</v>
      </c>
      <c r="D1168" s="66" t="s">
        <v>198</v>
      </c>
      <c r="E1168" s="66">
        <v>0.0</v>
      </c>
      <c r="F1168" s="66" t="s">
        <v>204</v>
      </c>
      <c r="G1168" s="66">
        <f t="shared" si="13"/>
        <v>0</v>
      </c>
      <c r="H1168" s="66">
        <v>0.0</v>
      </c>
      <c r="I1168" s="66">
        <v>1.8117</v>
      </c>
      <c r="J1168" s="66">
        <v>0.301</v>
      </c>
      <c r="K1168" s="81">
        <f t="shared" si="2"/>
        <v>1.8117</v>
      </c>
      <c r="L1168" s="81">
        <f t="shared" si="3"/>
        <v>0.301</v>
      </c>
    </row>
    <row r="1169">
      <c r="A1169" s="82">
        <v>44705.0</v>
      </c>
      <c r="B1169" s="82">
        <v>44705.0</v>
      </c>
      <c r="C1169" s="66" t="s">
        <v>212</v>
      </c>
      <c r="D1169" s="66" t="s">
        <v>198</v>
      </c>
      <c r="E1169" s="66">
        <v>0.0</v>
      </c>
      <c r="F1169" s="66" t="s">
        <v>204</v>
      </c>
      <c r="G1169" s="66">
        <f t="shared" si="13"/>
        <v>0</v>
      </c>
      <c r="H1169" s="66">
        <v>0.0</v>
      </c>
      <c r="I1169" s="66">
        <v>1.819</v>
      </c>
      <c r="J1169" s="66">
        <v>0.264</v>
      </c>
      <c r="K1169" s="81">
        <f t="shared" si="2"/>
        <v>1.819</v>
      </c>
      <c r="L1169" s="81">
        <f t="shared" si="3"/>
        <v>0.264</v>
      </c>
    </row>
    <row r="1170">
      <c r="A1170" s="82">
        <v>44705.0</v>
      </c>
      <c r="B1170" s="82">
        <v>44705.0</v>
      </c>
      <c r="C1170" s="66" t="s">
        <v>213</v>
      </c>
      <c r="D1170" s="66" t="s">
        <v>198</v>
      </c>
      <c r="E1170" s="66">
        <v>0.0</v>
      </c>
      <c r="F1170" s="66" t="s">
        <v>205</v>
      </c>
      <c r="G1170" s="66">
        <f t="shared" si="13"/>
        <v>0</v>
      </c>
      <c r="H1170" s="66">
        <v>0.0</v>
      </c>
      <c r="I1170" s="66">
        <v>8.3542</v>
      </c>
      <c r="J1170" s="66">
        <v>2.212</v>
      </c>
      <c r="K1170" s="81">
        <f t="shared" si="2"/>
        <v>8.3542</v>
      </c>
      <c r="L1170" s="81">
        <f t="shared" si="3"/>
        <v>2.212</v>
      </c>
    </row>
    <row r="1171">
      <c r="A1171" s="82">
        <v>44706.0</v>
      </c>
      <c r="B1171" s="82">
        <v>44706.0</v>
      </c>
      <c r="C1171" s="66">
        <v>2006.0</v>
      </c>
      <c r="D1171" s="66" t="s">
        <v>198</v>
      </c>
      <c r="E1171" s="66">
        <v>0.0</v>
      </c>
      <c r="F1171" s="66" t="s">
        <v>204</v>
      </c>
      <c r="G1171" s="66">
        <f t="shared" si="13"/>
        <v>0</v>
      </c>
      <c r="H1171" s="66">
        <v>15.1676</v>
      </c>
      <c r="I1171" s="66">
        <v>15.6503</v>
      </c>
      <c r="J1171" s="66">
        <v>15.3916</v>
      </c>
      <c r="K1171" s="81">
        <f t="shared" si="2"/>
        <v>0.4827</v>
      </c>
      <c r="L1171" s="81">
        <f t="shared" si="3"/>
        <v>0.224</v>
      </c>
    </row>
    <row r="1172">
      <c r="A1172" s="82">
        <v>44706.0</v>
      </c>
      <c r="B1172" s="82">
        <v>44706.0</v>
      </c>
      <c r="C1172" s="66">
        <v>2005.0</v>
      </c>
      <c r="D1172" s="66" t="s">
        <v>198</v>
      </c>
      <c r="E1172" s="66">
        <v>0.0</v>
      </c>
      <c r="F1172" s="66" t="s">
        <v>205</v>
      </c>
      <c r="G1172" s="66">
        <f t="shared" si="13"/>
        <v>0</v>
      </c>
      <c r="H1172" s="66">
        <v>25.3511</v>
      </c>
      <c r="I1172" s="66">
        <v>30.047</v>
      </c>
      <c r="J1172" s="66">
        <v>27.6229</v>
      </c>
      <c r="K1172" s="81">
        <f t="shared" si="2"/>
        <v>4.6959</v>
      </c>
      <c r="L1172" s="81">
        <f t="shared" si="3"/>
        <v>2.2718</v>
      </c>
    </row>
    <row r="1173">
      <c r="A1173" s="82">
        <v>44706.0</v>
      </c>
      <c r="B1173" s="82">
        <v>44706.0</v>
      </c>
      <c r="C1173" s="66">
        <v>2085.0</v>
      </c>
      <c r="D1173" s="66" t="s">
        <v>198</v>
      </c>
      <c r="E1173" s="66">
        <v>1.0</v>
      </c>
      <c r="F1173" s="66" t="s">
        <v>204</v>
      </c>
      <c r="G1173" s="66">
        <f t="shared" si="13"/>
        <v>0</v>
      </c>
      <c r="H1173" s="66">
        <v>15.0587</v>
      </c>
      <c r="I1173" s="66">
        <v>15.3748</v>
      </c>
      <c r="J1173" s="66">
        <v>15.2377</v>
      </c>
      <c r="K1173" s="81">
        <f t="shared" si="2"/>
        <v>0.3161</v>
      </c>
      <c r="L1173" s="81">
        <f t="shared" si="3"/>
        <v>0.179</v>
      </c>
    </row>
    <row r="1174">
      <c r="A1174" s="82">
        <v>44706.0</v>
      </c>
      <c r="B1174" s="82">
        <v>44706.0</v>
      </c>
      <c r="C1174" s="66">
        <v>2005.0</v>
      </c>
      <c r="D1174" s="66" t="s">
        <v>198</v>
      </c>
      <c r="E1174" s="66">
        <v>0.0</v>
      </c>
      <c r="F1174" s="66" t="s">
        <v>204</v>
      </c>
      <c r="G1174" s="66">
        <f t="shared" si="13"/>
        <v>0</v>
      </c>
      <c r="H1174" s="66">
        <v>26.3039</v>
      </c>
      <c r="I1174" s="66">
        <v>27.2183</v>
      </c>
      <c r="J1174" s="66">
        <v>26.7439</v>
      </c>
      <c r="K1174" s="81">
        <f t="shared" si="2"/>
        <v>0.9144</v>
      </c>
      <c r="L1174" s="81">
        <f t="shared" si="3"/>
        <v>0.44</v>
      </c>
    </row>
    <row r="1175">
      <c r="A1175" s="82">
        <v>44706.0</v>
      </c>
      <c r="B1175" s="82">
        <v>44706.0</v>
      </c>
      <c r="C1175" s="66">
        <v>2085.0</v>
      </c>
      <c r="D1175" s="66" t="s">
        <v>198</v>
      </c>
      <c r="E1175" s="66">
        <v>0.0</v>
      </c>
      <c r="F1175" s="66" t="s">
        <v>204</v>
      </c>
      <c r="G1175" s="66">
        <f t="shared" si="13"/>
        <v>0</v>
      </c>
      <c r="H1175" s="66">
        <v>15.4502</v>
      </c>
      <c r="I1175" s="66">
        <v>15.8966</v>
      </c>
      <c r="J1175" s="66">
        <v>15.6099</v>
      </c>
      <c r="K1175" s="81">
        <f t="shared" si="2"/>
        <v>0.4464</v>
      </c>
      <c r="L1175" s="81">
        <f t="shared" si="3"/>
        <v>0.1597</v>
      </c>
    </row>
    <row r="1176">
      <c r="A1176" s="82">
        <v>44706.0</v>
      </c>
      <c r="B1176" s="82">
        <v>44706.0</v>
      </c>
      <c r="C1176" s="66">
        <v>2012.0</v>
      </c>
      <c r="D1176" s="66" t="s">
        <v>198</v>
      </c>
      <c r="E1176" s="66">
        <v>1.0</v>
      </c>
      <c r="F1176" s="66" t="s">
        <v>204</v>
      </c>
      <c r="G1176" s="66">
        <f t="shared" si="13"/>
        <v>0</v>
      </c>
      <c r="H1176" s="66">
        <v>25.9003</v>
      </c>
      <c r="I1176" s="66">
        <v>26.7121</v>
      </c>
      <c r="J1176" s="66">
        <v>26.3324</v>
      </c>
      <c r="K1176" s="81">
        <f t="shared" si="2"/>
        <v>0.8118</v>
      </c>
      <c r="L1176" s="81">
        <f t="shared" si="3"/>
        <v>0.4321</v>
      </c>
    </row>
    <row r="1177">
      <c r="A1177" s="82">
        <v>44706.0</v>
      </c>
      <c r="B1177" s="82">
        <v>44706.0</v>
      </c>
      <c r="C1177" s="66">
        <v>2012.0</v>
      </c>
      <c r="D1177" s="66" t="s">
        <v>198</v>
      </c>
      <c r="E1177" s="66">
        <v>0.0</v>
      </c>
      <c r="F1177" s="66" t="s">
        <v>205</v>
      </c>
      <c r="G1177" s="66">
        <f t="shared" si="13"/>
        <v>0</v>
      </c>
      <c r="H1177" s="66">
        <v>26.2111</v>
      </c>
      <c r="I1177" s="66">
        <v>30.0344</v>
      </c>
      <c r="J1177" s="66">
        <v>28.1488</v>
      </c>
      <c r="K1177" s="81">
        <f t="shared" si="2"/>
        <v>3.8233</v>
      </c>
      <c r="L1177" s="81">
        <f t="shared" si="3"/>
        <v>1.9377</v>
      </c>
    </row>
    <row r="1178">
      <c r="A1178" s="82">
        <v>44706.0</v>
      </c>
      <c r="B1178" s="82">
        <v>44706.0</v>
      </c>
      <c r="C1178" s="66">
        <v>2085.0</v>
      </c>
      <c r="D1178" s="66" t="s">
        <v>198</v>
      </c>
      <c r="E1178" s="66">
        <v>0.0</v>
      </c>
      <c r="F1178" s="66" t="s">
        <v>205</v>
      </c>
      <c r="G1178" s="66">
        <f t="shared" si="13"/>
        <v>0</v>
      </c>
      <c r="H1178" s="66">
        <v>14.854</v>
      </c>
      <c r="I1178" s="66">
        <v>17.6383</v>
      </c>
      <c r="J1178" s="66">
        <v>16.0776</v>
      </c>
      <c r="K1178" s="81">
        <f t="shared" si="2"/>
        <v>2.7843</v>
      </c>
      <c r="L1178" s="81">
        <f t="shared" si="3"/>
        <v>1.2236</v>
      </c>
    </row>
    <row r="1179">
      <c r="A1179" s="82">
        <v>44706.0</v>
      </c>
      <c r="B1179" s="82">
        <v>44706.0</v>
      </c>
      <c r="C1179" s="66">
        <v>2005.0</v>
      </c>
      <c r="D1179" s="66" t="s">
        <v>198</v>
      </c>
      <c r="E1179" s="66">
        <v>1.0</v>
      </c>
      <c r="F1179" s="66" t="s">
        <v>204</v>
      </c>
      <c r="G1179" s="66">
        <f t="shared" si="13"/>
        <v>0</v>
      </c>
      <c r="H1179" s="66">
        <v>25.6592</v>
      </c>
      <c r="I1179" s="66">
        <v>26.5463</v>
      </c>
      <c r="J1179" s="66">
        <v>26.127</v>
      </c>
      <c r="K1179" s="81">
        <f t="shared" si="2"/>
        <v>0.8871</v>
      </c>
      <c r="L1179" s="81">
        <f t="shared" si="3"/>
        <v>0.4678</v>
      </c>
    </row>
    <row r="1180">
      <c r="A1180" s="82">
        <v>44706.0</v>
      </c>
      <c r="B1180" s="82">
        <v>44706.0</v>
      </c>
      <c r="C1180" s="66">
        <v>2012.0</v>
      </c>
      <c r="D1180" s="66" t="s">
        <v>198</v>
      </c>
      <c r="E1180" s="66">
        <v>0.0</v>
      </c>
      <c r="F1180" s="66" t="s">
        <v>204</v>
      </c>
      <c r="G1180" s="66">
        <f t="shared" si="13"/>
        <v>0</v>
      </c>
      <c r="H1180" s="66">
        <v>26.2845</v>
      </c>
      <c r="I1180" s="66">
        <v>27.1658</v>
      </c>
      <c r="J1180" s="66">
        <v>26.6761</v>
      </c>
      <c r="K1180" s="81">
        <f t="shared" si="2"/>
        <v>0.8813</v>
      </c>
      <c r="L1180" s="81">
        <f t="shared" si="3"/>
        <v>0.3916</v>
      </c>
    </row>
    <row r="1181">
      <c r="A1181" s="82">
        <v>44706.0</v>
      </c>
      <c r="B1181" s="82">
        <v>44706.0</v>
      </c>
      <c r="C1181" s="66">
        <v>2090.0</v>
      </c>
      <c r="D1181" s="66" t="s">
        <v>198</v>
      </c>
      <c r="E1181" s="66">
        <v>0.0</v>
      </c>
      <c r="F1181" s="66" t="s">
        <v>204</v>
      </c>
      <c r="G1181" s="66">
        <f t="shared" si="13"/>
        <v>0</v>
      </c>
      <c r="H1181" s="66">
        <v>6.3073</v>
      </c>
      <c r="I1181" s="66">
        <v>6.5512</v>
      </c>
      <c r="J1181" s="66">
        <v>6.4507</v>
      </c>
      <c r="K1181" s="81">
        <f t="shared" si="2"/>
        <v>0.2439</v>
      </c>
      <c r="L1181" s="81">
        <f t="shared" si="3"/>
        <v>0.1434</v>
      </c>
    </row>
    <row r="1182">
      <c r="A1182" s="82">
        <v>44706.0</v>
      </c>
      <c r="B1182" s="82">
        <v>44706.0</v>
      </c>
      <c r="C1182" s="66">
        <v>2090.0</v>
      </c>
      <c r="D1182" s="66" t="s">
        <v>198</v>
      </c>
      <c r="E1182" s="66">
        <v>0.0</v>
      </c>
      <c r="F1182" s="66" t="s">
        <v>205</v>
      </c>
      <c r="G1182" s="66">
        <f t="shared" si="13"/>
        <v>0</v>
      </c>
      <c r="H1182" s="66">
        <v>7.2711</v>
      </c>
      <c r="I1182" s="66">
        <v>10.262</v>
      </c>
      <c r="J1182" s="66">
        <v>8.6811</v>
      </c>
      <c r="K1182" s="81">
        <f t="shared" si="2"/>
        <v>2.9909</v>
      </c>
      <c r="L1182" s="81">
        <f t="shared" si="3"/>
        <v>1.41</v>
      </c>
    </row>
    <row r="1183">
      <c r="A1183" s="82">
        <v>44706.0</v>
      </c>
      <c r="B1183" s="82">
        <v>44706.0</v>
      </c>
      <c r="C1183" s="66">
        <v>2089.0</v>
      </c>
      <c r="D1183" s="66" t="s">
        <v>198</v>
      </c>
      <c r="E1183" s="66">
        <v>0.0</v>
      </c>
      <c r="F1183" s="66" t="s">
        <v>204</v>
      </c>
      <c r="G1183" s="66">
        <f t="shared" si="13"/>
        <v>0</v>
      </c>
      <c r="H1183" s="66">
        <v>7.3146</v>
      </c>
      <c r="I1183" s="66">
        <v>7.4846</v>
      </c>
      <c r="J1183" s="66">
        <v>7.3941</v>
      </c>
      <c r="K1183" s="81">
        <f t="shared" si="2"/>
        <v>0.17</v>
      </c>
      <c r="L1183" s="81">
        <f t="shared" si="3"/>
        <v>0.0795</v>
      </c>
    </row>
    <row r="1184">
      <c r="A1184" s="82">
        <v>44706.0</v>
      </c>
      <c r="B1184" s="82">
        <v>44706.0</v>
      </c>
      <c r="C1184" s="66">
        <v>2087.0</v>
      </c>
      <c r="D1184" s="66" t="s">
        <v>198</v>
      </c>
      <c r="E1184" s="66">
        <v>0.0</v>
      </c>
      <c r="F1184" s="66" t="s">
        <v>204</v>
      </c>
      <c r="G1184" s="66">
        <f t="shared" si="13"/>
        <v>0</v>
      </c>
      <c r="H1184" s="66">
        <v>7.326</v>
      </c>
      <c r="I1184" s="66">
        <v>8.3897</v>
      </c>
      <c r="J1184" s="66">
        <v>7.8437</v>
      </c>
      <c r="K1184" s="81">
        <f t="shared" si="2"/>
        <v>1.0637</v>
      </c>
      <c r="L1184" s="81">
        <f t="shared" si="3"/>
        <v>0.5177</v>
      </c>
    </row>
    <row r="1185">
      <c r="A1185" s="82">
        <v>44706.0</v>
      </c>
      <c r="B1185" s="82">
        <v>44706.0</v>
      </c>
      <c r="C1185" s="66">
        <v>2015.0</v>
      </c>
      <c r="D1185" s="66" t="s">
        <v>198</v>
      </c>
      <c r="E1185" s="66">
        <v>0.0</v>
      </c>
      <c r="F1185" s="66" t="s">
        <v>204</v>
      </c>
      <c r="G1185" s="66">
        <f t="shared" si="13"/>
        <v>0</v>
      </c>
      <c r="H1185" s="66">
        <v>7.3817</v>
      </c>
      <c r="I1185" s="66">
        <v>7.7257</v>
      </c>
      <c r="J1185" s="66">
        <v>7.5882</v>
      </c>
      <c r="K1185" s="81">
        <f t="shared" si="2"/>
        <v>0.344</v>
      </c>
      <c r="L1185" s="81">
        <f t="shared" si="3"/>
        <v>0.2065</v>
      </c>
    </row>
    <row r="1186">
      <c r="A1186" s="82">
        <v>44706.0</v>
      </c>
      <c r="B1186" s="82">
        <v>44706.0</v>
      </c>
      <c r="C1186" s="66">
        <v>2086.0</v>
      </c>
      <c r="D1186" s="66" t="s">
        <v>198</v>
      </c>
      <c r="E1186" s="66">
        <v>1.0</v>
      </c>
      <c r="F1186" s="66" t="s">
        <v>204</v>
      </c>
      <c r="G1186" s="66">
        <f t="shared" si="13"/>
        <v>0</v>
      </c>
      <c r="H1186" s="66">
        <v>6.241</v>
      </c>
      <c r="I1186" s="66">
        <v>6.6079</v>
      </c>
      <c r="J1186" s="66">
        <v>6.4474</v>
      </c>
      <c r="K1186" s="81">
        <f t="shared" si="2"/>
        <v>0.3669</v>
      </c>
      <c r="L1186" s="81">
        <f t="shared" si="3"/>
        <v>0.2064</v>
      </c>
    </row>
    <row r="1187">
      <c r="A1187" s="82">
        <v>44706.0</v>
      </c>
      <c r="B1187" s="82">
        <v>44706.0</v>
      </c>
      <c r="C1187" s="66">
        <v>2088.0</v>
      </c>
      <c r="D1187" s="66" t="s">
        <v>198</v>
      </c>
      <c r="E1187" s="66">
        <v>0.0</v>
      </c>
      <c r="F1187" s="66" t="s">
        <v>205</v>
      </c>
      <c r="G1187" s="66">
        <f t="shared" si="13"/>
        <v>0</v>
      </c>
      <c r="H1187" s="66">
        <v>7.3737</v>
      </c>
      <c r="I1187" s="66">
        <v>11.452</v>
      </c>
      <c r="J1187" s="66">
        <v>9.4783</v>
      </c>
      <c r="K1187" s="81">
        <f t="shared" si="2"/>
        <v>4.0783</v>
      </c>
      <c r="L1187" s="81">
        <f t="shared" si="3"/>
        <v>2.1046</v>
      </c>
    </row>
    <row r="1188">
      <c r="A1188" s="82">
        <v>44706.0</v>
      </c>
      <c r="B1188" s="82">
        <v>44706.0</v>
      </c>
      <c r="C1188" s="66">
        <v>1478.0</v>
      </c>
      <c r="D1188" s="66" t="s">
        <v>198</v>
      </c>
      <c r="E1188" s="66">
        <v>1.0</v>
      </c>
      <c r="F1188" s="66" t="s">
        <v>204</v>
      </c>
      <c r="G1188" s="66">
        <f t="shared" si="13"/>
        <v>0</v>
      </c>
      <c r="H1188" s="66">
        <v>6.3121</v>
      </c>
      <c r="I1188" s="66">
        <v>6.8353</v>
      </c>
      <c r="J1188" s="66">
        <v>6.6399</v>
      </c>
      <c r="K1188" s="81">
        <f t="shared" si="2"/>
        <v>0.5232</v>
      </c>
      <c r="L1188" s="81">
        <f t="shared" si="3"/>
        <v>0.3278</v>
      </c>
    </row>
    <row r="1189">
      <c r="A1189" s="82">
        <v>44706.0</v>
      </c>
      <c r="B1189" s="82">
        <v>44706.0</v>
      </c>
      <c r="C1189" s="66">
        <v>2092.0</v>
      </c>
      <c r="D1189" s="66" t="s">
        <v>198</v>
      </c>
      <c r="E1189" s="66">
        <v>0.0</v>
      </c>
      <c r="F1189" s="66" t="s">
        <v>205</v>
      </c>
      <c r="G1189" s="66">
        <f t="shared" si="13"/>
        <v>0</v>
      </c>
      <c r="H1189" s="66">
        <v>7.3392</v>
      </c>
      <c r="I1189" s="66">
        <v>9.2759</v>
      </c>
      <c r="J1189" s="66">
        <v>8.4059</v>
      </c>
      <c r="K1189" s="81">
        <f t="shared" si="2"/>
        <v>1.9367</v>
      </c>
      <c r="L1189" s="81">
        <f t="shared" si="3"/>
        <v>1.0667</v>
      </c>
    </row>
    <row r="1190">
      <c r="A1190" s="82">
        <v>44706.0</v>
      </c>
      <c r="B1190" s="82">
        <v>44706.0</v>
      </c>
      <c r="C1190" s="66">
        <v>2092.0</v>
      </c>
      <c r="D1190" s="66" t="s">
        <v>198</v>
      </c>
      <c r="E1190" s="66">
        <v>0.0</v>
      </c>
      <c r="F1190" s="66" t="s">
        <v>204</v>
      </c>
      <c r="G1190" s="66">
        <f t="shared" si="13"/>
        <v>0</v>
      </c>
      <c r="H1190" s="66">
        <v>6.3215</v>
      </c>
      <c r="I1190" s="66">
        <v>6.3608</v>
      </c>
      <c r="J1190" s="66">
        <v>6.3679</v>
      </c>
      <c r="K1190" s="81">
        <f t="shared" si="2"/>
        <v>0.0393</v>
      </c>
      <c r="L1190" s="81">
        <f t="shared" si="3"/>
        <v>0.0464</v>
      </c>
    </row>
    <row r="1191">
      <c r="A1191" s="82">
        <v>44706.0</v>
      </c>
      <c r="B1191" s="82">
        <v>44706.0</v>
      </c>
      <c r="C1191" s="66">
        <v>2086.0</v>
      </c>
      <c r="D1191" s="66" t="s">
        <v>198</v>
      </c>
      <c r="E1191" s="66">
        <v>0.0</v>
      </c>
      <c r="F1191" s="66" t="s">
        <v>205</v>
      </c>
      <c r="G1191" s="66">
        <f t="shared" si="13"/>
        <v>0</v>
      </c>
      <c r="H1191" s="66">
        <v>7.315</v>
      </c>
      <c r="I1191" s="66">
        <v>8.0933</v>
      </c>
      <c r="J1191" s="66">
        <v>7.7206</v>
      </c>
      <c r="K1191" s="81">
        <f t="shared" si="2"/>
        <v>0.7783</v>
      </c>
      <c r="L1191" s="81">
        <f t="shared" si="3"/>
        <v>0.4056</v>
      </c>
    </row>
    <row r="1192">
      <c r="A1192" s="82">
        <v>44706.0</v>
      </c>
      <c r="B1192" s="82">
        <v>44706.0</v>
      </c>
      <c r="C1192" s="66">
        <v>2006.0</v>
      </c>
      <c r="D1192" s="66" t="s">
        <v>198</v>
      </c>
      <c r="E1192" s="66">
        <v>0.0</v>
      </c>
      <c r="F1192" s="66" t="s">
        <v>205</v>
      </c>
      <c r="G1192" s="66">
        <f t="shared" si="13"/>
        <v>0</v>
      </c>
      <c r="H1192" s="66">
        <v>7.357</v>
      </c>
      <c r="I1192" s="66">
        <v>11.5124</v>
      </c>
      <c r="J1192" s="66">
        <v>9.575</v>
      </c>
      <c r="K1192" s="81">
        <f t="shared" si="2"/>
        <v>4.1554</v>
      </c>
      <c r="L1192" s="81">
        <f t="shared" si="3"/>
        <v>2.218</v>
      </c>
    </row>
    <row r="1193">
      <c r="A1193" s="82">
        <v>44706.0</v>
      </c>
      <c r="B1193" s="82">
        <v>44706.0</v>
      </c>
      <c r="C1193" s="66">
        <v>2086.0</v>
      </c>
      <c r="D1193" s="66" t="s">
        <v>198</v>
      </c>
      <c r="E1193" s="66">
        <v>0.0</v>
      </c>
      <c r="F1193" s="66" t="s">
        <v>204</v>
      </c>
      <c r="G1193" s="66">
        <f t="shared" si="13"/>
        <v>0</v>
      </c>
      <c r="H1193" s="66">
        <v>7.3423</v>
      </c>
      <c r="I1193" s="66">
        <v>7.4779</v>
      </c>
      <c r="J1193" s="66">
        <v>7.4109</v>
      </c>
      <c r="K1193" s="81">
        <f t="shared" si="2"/>
        <v>0.1356</v>
      </c>
      <c r="L1193" s="81">
        <f t="shared" si="3"/>
        <v>0.0686</v>
      </c>
    </row>
    <row r="1194">
      <c r="A1194" s="82">
        <v>44706.0</v>
      </c>
      <c r="B1194" s="82">
        <v>44706.0</v>
      </c>
      <c r="C1194" s="66">
        <v>2008.0</v>
      </c>
      <c r="D1194" s="66" t="s">
        <v>198</v>
      </c>
      <c r="E1194" s="66">
        <v>0.0</v>
      </c>
      <c r="F1194" s="66" t="s">
        <v>204</v>
      </c>
      <c r="G1194" s="66">
        <f t="shared" si="13"/>
        <v>0</v>
      </c>
      <c r="H1194" s="66">
        <v>7.263</v>
      </c>
      <c r="I1194" s="66">
        <v>7.7331</v>
      </c>
      <c r="J1194" s="66">
        <v>7.5119</v>
      </c>
      <c r="K1194" s="81">
        <f t="shared" si="2"/>
        <v>0.4701</v>
      </c>
      <c r="L1194" s="81">
        <f t="shared" si="3"/>
        <v>0.2489</v>
      </c>
    </row>
    <row r="1195">
      <c r="A1195" s="82">
        <v>44706.0</v>
      </c>
      <c r="B1195" s="82">
        <v>44706.0</v>
      </c>
      <c r="C1195" s="66">
        <v>2093.0</v>
      </c>
      <c r="D1195" s="66" t="s">
        <v>198</v>
      </c>
      <c r="E1195" s="66">
        <v>1.0</v>
      </c>
      <c r="F1195" s="66" t="s">
        <v>205</v>
      </c>
      <c r="G1195" s="66">
        <f t="shared" si="13"/>
        <v>0</v>
      </c>
      <c r="H1195" s="66">
        <v>7.3517</v>
      </c>
      <c r="I1195" s="66">
        <v>7.5859</v>
      </c>
      <c r="J1195" s="66">
        <v>7.4885</v>
      </c>
      <c r="K1195" s="81">
        <f t="shared" si="2"/>
        <v>0.2342</v>
      </c>
      <c r="L1195" s="81">
        <f t="shared" si="3"/>
        <v>0.1368</v>
      </c>
    </row>
    <row r="1196">
      <c r="A1196" s="82">
        <v>44706.0</v>
      </c>
      <c r="B1196" s="82">
        <v>44706.0</v>
      </c>
      <c r="C1196" s="66">
        <v>2092.0</v>
      </c>
      <c r="D1196" s="66" t="s">
        <v>198</v>
      </c>
      <c r="E1196" s="66">
        <v>1.0</v>
      </c>
      <c r="F1196" s="66" t="s">
        <v>205</v>
      </c>
      <c r="G1196" s="66">
        <f t="shared" si="13"/>
        <v>0</v>
      </c>
      <c r="H1196" s="66">
        <v>7.4649</v>
      </c>
      <c r="I1196" s="66">
        <v>9.508</v>
      </c>
      <c r="J1196" s="66">
        <v>8.7147</v>
      </c>
      <c r="K1196" s="81">
        <f t="shared" si="2"/>
        <v>2.0431</v>
      </c>
      <c r="L1196" s="81">
        <f t="shared" si="3"/>
        <v>1.2498</v>
      </c>
    </row>
    <row r="1197">
      <c r="A1197" s="82">
        <v>44706.0</v>
      </c>
      <c r="B1197" s="82">
        <v>44706.0</v>
      </c>
      <c r="C1197" s="66">
        <v>2093.0</v>
      </c>
      <c r="D1197" s="66" t="s">
        <v>198</v>
      </c>
      <c r="E1197" s="66">
        <v>1.0</v>
      </c>
      <c r="F1197" s="66" t="s">
        <v>204</v>
      </c>
      <c r="G1197" s="66">
        <f t="shared" si="13"/>
        <v>0</v>
      </c>
      <c r="H1197" s="66">
        <v>7.339</v>
      </c>
      <c r="I1197" s="66">
        <v>7.8223</v>
      </c>
      <c r="J1197" s="66">
        <v>7.6148</v>
      </c>
      <c r="K1197" s="81">
        <f t="shared" si="2"/>
        <v>0.4833</v>
      </c>
      <c r="L1197" s="81">
        <f t="shared" si="3"/>
        <v>0.2758</v>
      </c>
    </row>
    <row r="1198">
      <c r="A1198" s="82">
        <v>44706.0</v>
      </c>
      <c r="B1198" s="82">
        <v>44706.0</v>
      </c>
      <c r="C1198" s="66">
        <v>2091.0</v>
      </c>
      <c r="D1198" s="66" t="s">
        <v>198</v>
      </c>
      <c r="E1198" s="66">
        <v>1.0</v>
      </c>
      <c r="F1198" s="66" t="s">
        <v>204</v>
      </c>
      <c r="G1198" s="66">
        <f t="shared" si="13"/>
        <v>0</v>
      </c>
      <c r="H1198" s="66">
        <v>6.2477</v>
      </c>
      <c r="I1198" s="66">
        <v>7.0457</v>
      </c>
      <c r="J1198" s="66">
        <v>6.6973</v>
      </c>
      <c r="K1198" s="81">
        <f t="shared" si="2"/>
        <v>0.798</v>
      </c>
      <c r="L1198" s="81">
        <f t="shared" si="3"/>
        <v>0.4496</v>
      </c>
    </row>
    <row r="1199">
      <c r="A1199" s="82">
        <v>44706.0</v>
      </c>
      <c r="B1199" s="82">
        <v>44706.0</v>
      </c>
      <c r="C1199" s="66">
        <v>2087.0</v>
      </c>
      <c r="D1199" s="66" t="s">
        <v>198</v>
      </c>
      <c r="E1199" s="66">
        <v>0.0</v>
      </c>
      <c r="F1199" s="66" t="s">
        <v>205</v>
      </c>
      <c r="G1199" s="66">
        <f t="shared" si="13"/>
        <v>0</v>
      </c>
      <c r="H1199" s="66">
        <v>7.4154</v>
      </c>
      <c r="I1199" s="66">
        <v>10.7798</v>
      </c>
      <c r="J1199" s="66">
        <v>9.2088</v>
      </c>
      <c r="K1199" s="81">
        <f t="shared" si="2"/>
        <v>3.3644</v>
      </c>
      <c r="L1199" s="81">
        <f t="shared" si="3"/>
        <v>1.7934</v>
      </c>
    </row>
    <row r="1200">
      <c r="A1200" s="82">
        <v>44706.0</v>
      </c>
      <c r="B1200" s="82">
        <v>44706.0</v>
      </c>
      <c r="C1200" s="66">
        <v>2091.0</v>
      </c>
      <c r="D1200" s="66" t="s">
        <v>198</v>
      </c>
      <c r="E1200" s="66">
        <v>0.0</v>
      </c>
      <c r="F1200" s="66" t="s">
        <v>204</v>
      </c>
      <c r="G1200" s="66">
        <f t="shared" si="13"/>
        <v>0</v>
      </c>
      <c r="H1200" s="66">
        <v>7.3012</v>
      </c>
      <c r="I1200" s="66">
        <v>7.4423</v>
      </c>
      <c r="J1200" s="66">
        <v>7.353</v>
      </c>
      <c r="K1200" s="81">
        <f t="shared" si="2"/>
        <v>0.1411</v>
      </c>
      <c r="L1200" s="81">
        <f t="shared" si="3"/>
        <v>0.0518</v>
      </c>
    </row>
    <row r="1201">
      <c r="A1201" s="82">
        <v>44706.0</v>
      </c>
      <c r="B1201" s="82">
        <v>44706.0</v>
      </c>
      <c r="C1201" s="66">
        <v>2012.0</v>
      </c>
      <c r="D1201" s="66" t="s">
        <v>198</v>
      </c>
      <c r="E1201" s="66">
        <v>1.0</v>
      </c>
      <c r="F1201" s="66" t="s">
        <v>204</v>
      </c>
      <c r="G1201" s="66">
        <f t="shared" si="13"/>
        <v>0</v>
      </c>
      <c r="H1201" s="66">
        <v>7.3096</v>
      </c>
      <c r="I1201" s="66">
        <v>7.4007</v>
      </c>
      <c r="J1201" s="66">
        <v>7.3755</v>
      </c>
      <c r="K1201" s="81">
        <f t="shared" si="2"/>
        <v>0.0911</v>
      </c>
      <c r="L1201" s="81">
        <f t="shared" si="3"/>
        <v>0.0659</v>
      </c>
    </row>
    <row r="1202">
      <c r="A1202" s="82">
        <v>44706.0</v>
      </c>
      <c r="B1202" s="82">
        <v>44706.0</v>
      </c>
      <c r="C1202" s="66">
        <v>2007.0</v>
      </c>
      <c r="D1202" s="66" t="s">
        <v>198</v>
      </c>
      <c r="E1202" s="66">
        <v>0.0</v>
      </c>
      <c r="F1202" s="66" t="s">
        <v>205</v>
      </c>
      <c r="G1202" s="66">
        <f t="shared" si="13"/>
        <v>0</v>
      </c>
      <c r="H1202" s="66">
        <v>7.2739</v>
      </c>
      <c r="I1202" s="66">
        <v>9.2162</v>
      </c>
      <c r="J1202" s="66">
        <v>8.3362</v>
      </c>
      <c r="K1202" s="81">
        <f t="shared" si="2"/>
        <v>1.9423</v>
      </c>
      <c r="L1202" s="81">
        <f t="shared" si="3"/>
        <v>1.0623</v>
      </c>
    </row>
    <row r="1203">
      <c r="A1203" s="82">
        <v>44706.0</v>
      </c>
      <c r="B1203" s="82">
        <v>44706.0</v>
      </c>
      <c r="C1203" s="66">
        <v>2089.0</v>
      </c>
      <c r="D1203" s="66" t="s">
        <v>198</v>
      </c>
      <c r="E1203" s="66">
        <v>1.0</v>
      </c>
      <c r="F1203" s="66" t="s">
        <v>205</v>
      </c>
      <c r="G1203" s="66">
        <f t="shared" si="13"/>
        <v>0</v>
      </c>
      <c r="H1203" s="66">
        <v>7.2661</v>
      </c>
      <c r="I1203" s="66">
        <v>9.0972</v>
      </c>
      <c r="J1203" s="66">
        <v>8.345</v>
      </c>
      <c r="K1203" s="81">
        <f t="shared" si="2"/>
        <v>1.8311</v>
      </c>
      <c r="L1203" s="81">
        <f t="shared" si="3"/>
        <v>1.0789</v>
      </c>
    </row>
    <row r="1204">
      <c r="A1204" s="82">
        <v>44706.0</v>
      </c>
      <c r="B1204" s="82">
        <v>44706.0</v>
      </c>
      <c r="C1204" s="66">
        <v>2093.0</v>
      </c>
      <c r="D1204" s="66" t="s">
        <v>198</v>
      </c>
      <c r="E1204" s="66">
        <v>0.0</v>
      </c>
      <c r="F1204" s="66" t="s">
        <v>204</v>
      </c>
      <c r="G1204" s="66">
        <f t="shared" si="13"/>
        <v>0</v>
      </c>
      <c r="H1204" s="66">
        <v>6.242</v>
      </c>
      <c r="I1204" s="66">
        <v>6.3144</v>
      </c>
      <c r="J1204" s="66">
        <v>6.2785</v>
      </c>
      <c r="K1204" s="81">
        <f t="shared" si="2"/>
        <v>0.0724</v>
      </c>
      <c r="L1204" s="81">
        <f t="shared" si="3"/>
        <v>0.0365</v>
      </c>
    </row>
    <row r="1205">
      <c r="A1205" s="82">
        <v>44706.0</v>
      </c>
      <c r="B1205" s="82">
        <v>44706.0</v>
      </c>
      <c r="C1205" s="66">
        <v>2008.0</v>
      </c>
      <c r="D1205" s="66" t="s">
        <v>198</v>
      </c>
      <c r="E1205" s="66">
        <v>1.0</v>
      </c>
      <c r="F1205" s="66" t="s">
        <v>204</v>
      </c>
      <c r="G1205" s="66">
        <f t="shared" si="13"/>
        <v>0</v>
      </c>
      <c r="H1205" s="66">
        <v>7.4002</v>
      </c>
      <c r="I1205" s="66">
        <v>7.8662</v>
      </c>
      <c r="J1205" s="66">
        <v>7.7227</v>
      </c>
      <c r="K1205" s="81">
        <f t="shared" si="2"/>
        <v>0.466</v>
      </c>
      <c r="L1205" s="81">
        <f t="shared" si="3"/>
        <v>0.3225</v>
      </c>
    </row>
    <row r="1206">
      <c r="A1206" s="82">
        <v>44706.0</v>
      </c>
      <c r="B1206" s="82">
        <v>44706.0</v>
      </c>
      <c r="C1206" s="66">
        <v>2008.0</v>
      </c>
      <c r="D1206" s="66" t="s">
        <v>198</v>
      </c>
      <c r="E1206" s="66">
        <v>0.0</v>
      </c>
      <c r="F1206" s="66" t="s">
        <v>205</v>
      </c>
      <c r="G1206" s="66">
        <f t="shared" si="13"/>
        <v>0</v>
      </c>
      <c r="H1206" s="66">
        <v>7.3322</v>
      </c>
      <c r="I1206" s="66">
        <v>10.3641</v>
      </c>
      <c r="J1206" s="66">
        <v>9.1137</v>
      </c>
      <c r="K1206" s="81">
        <f t="shared" si="2"/>
        <v>3.0319</v>
      </c>
      <c r="L1206" s="81">
        <f t="shared" si="3"/>
        <v>1.7815</v>
      </c>
    </row>
    <row r="1207">
      <c r="A1207" s="82">
        <v>44706.0</v>
      </c>
      <c r="B1207" s="82">
        <v>44706.0</v>
      </c>
      <c r="C1207" s="66">
        <v>2015.0</v>
      </c>
      <c r="D1207" s="66" t="s">
        <v>198</v>
      </c>
      <c r="E1207" s="66">
        <v>0.0</v>
      </c>
      <c r="F1207" s="66" t="s">
        <v>205</v>
      </c>
      <c r="G1207" s="66">
        <f t="shared" si="13"/>
        <v>0</v>
      </c>
      <c r="H1207" s="66">
        <v>7.2499</v>
      </c>
      <c r="I1207" s="66">
        <v>10.1894</v>
      </c>
      <c r="J1207" s="66">
        <v>8.8177</v>
      </c>
      <c r="K1207" s="81">
        <f t="shared" si="2"/>
        <v>2.9395</v>
      </c>
      <c r="L1207" s="81">
        <f t="shared" si="3"/>
        <v>1.5678</v>
      </c>
    </row>
    <row r="1208">
      <c r="A1208" s="82">
        <v>44706.0</v>
      </c>
      <c r="B1208" s="82">
        <v>44706.0</v>
      </c>
      <c r="C1208" s="66">
        <v>1478.0</v>
      </c>
      <c r="D1208" s="66" t="s">
        <v>198</v>
      </c>
      <c r="E1208" s="66">
        <v>0.0</v>
      </c>
      <c r="F1208" s="66" t="s">
        <v>204</v>
      </c>
      <c r="G1208" s="66">
        <f t="shared" si="13"/>
        <v>0</v>
      </c>
      <c r="H1208" s="66">
        <v>7.3216</v>
      </c>
      <c r="I1208" s="66">
        <v>7.5727</v>
      </c>
      <c r="J1208" s="66">
        <v>7.4466</v>
      </c>
      <c r="K1208" s="81">
        <f t="shared" si="2"/>
        <v>0.2511</v>
      </c>
      <c r="L1208" s="81">
        <f t="shared" si="3"/>
        <v>0.125</v>
      </c>
    </row>
    <row r="1209">
      <c r="A1209" s="82">
        <v>44706.0</v>
      </c>
      <c r="B1209" s="82">
        <v>44706.0</v>
      </c>
      <c r="C1209" s="66">
        <v>2004.0</v>
      </c>
      <c r="D1209" s="66" t="s">
        <v>198</v>
      </c>
      <c r="E1209" s="66">
        <v>0.0</v>
      </c>
      <c r="F1209" s="66" t="s">
        <v>205</v>
      </c>
      <c r="G1209" s="66">
        <f t="shared" si="13"/>
        <v>0</v>
      </c>
      <c r="H1209" s="66">
        <v>7.3666</v>
      </c>
      <c r="I1209" s="66">
        <v>9.2744</v>
      </c>
      <c r="J1209" s="66">
        <v>8.4332</v>
      </c>
      <c r="K1209" s="81">
        <f t="shared" si="2"/>
        <v>1.9078</v>
      </c>
      <c r="L1209" s="81">
        <f t="shared" si="3"/>
        <v>1.0666</v>
      </c>
    </row>
    <row r="1210">
      <c r="A1210" s="82">
        <v>44706.0</v>
      </c>
      <c r="B1210" s="82">
        <v>44706.0</v>
      </c>
      <c r="C1210" s="66">
        <v>2091.0</v>
      </c>
      <c r="D1210" s="66" t="s">
        <v>198</v>
      </c>
      <c r="E1210" s="66">
        <v>1.0</v>
      </c>
      <c r="F1210" s="66" t="s">
        <v>205</v>
      </c>
      <c r="G1210" s="66">
        <f t="shared" si="13"/>
        <v>0</v>
      </c>
      <c r="H1210" s="66">
        <v>7.2764</v>
      </c>
      <c r="I1210" s="66">
        <v>9.5427</v>
      </c>
      <c r="J1210" s="66">
        <v>8.6106</v>
      </c>
      <c r="K1210" s="81">
        <f t="shared" si="2"/>
        <v>2.2663</v>
      </c>
      <c r="L1210" s="81">
        <f t="shared" si="3"/>
        <v>1.3342</v>
      </c>
    </row>
    <row r="1211">
      <c r="A1211" s="82">
        <v>44706.0</v>
      </c>
      <c r="B1211" s="82">
        <v>44706.0</v>
      </c>
      <c r="C1211" s="66">
        <v>2088.0</v>
      </c>
      <c r="D1211" s="66" t="s">
        <v>198</v>
      </c>
      <c r="E1211" s="66">
        <v>0.0</v>
      </c>
      <c r="F1211" s="66" t="s">
        <v>204</v>
      </c>
      <c r="G1211" s="66">
        <f t="shared" si="13"/>
        <v>0</v>
      </c>
      <c r="H1211" s="66">
        <v>6.2349</v>
      </c>
      <c r="I1211" s="66">
        <v>6.9463</v>
      </c>
      <c r="J1211" s="66">
        <v>6.602</v>
      </c>
      <c r="K1211" s="81">
        <f t="shared" si="2"/>
        <v>0.7114</v>
      </c>
      <c r="L1211" s="81">
        <f t="shared" si="3"/>
        <v>0.3671</v>
      </c>
    </row>
    <row r="1212">
      <c r="A1212" s="82">
        <v>44706.0</v>
      </c>
      <c r="B1212" s="82">
        <v>44706.0</v>
      </c>
      <c r="C1212" s="66">
        <v>2007.0</v>
      </c>
      <c r="D1212" s="66" t="s">
        <v>198</v>
      </c>
      <c r="E1212" s="66">
        <v>1.0</v>
      </c>
      <c r="F1212" s="66" t="s">
        <v>204</v>
      </c>
      <c r="G1212" s="66">
        <f t="shared" si="13"/>
        <v>0</v>
      </c>
      <c r="H1212" s="66">
        <v>6.3041</v>
      </c>
      <c r="I1212" s="66">
        <v>6.8482</v>
      </c>
      <c r="J1212" s="66">
        <v>6.7226</v>
      </c>
      <c r="K1212" s="81">
        <f t="shared" si="2"/>
        <v>0.5441</v>
      </c>
      <c r="L1212" s="81">
        <f t="shared" si="3"/>
        <v>0.4185</v>
      </c>
    </row>
    <row r="1213">
      <c r="A1213" s="82">
        <v>44706.0</v>
      </c>
      <c r="B1213" s="82">
        <v>44706.0</v>
      </c>
      <c r="C1213" s="66">
        <v>2089.0</v>
      </c>
      <c r="D1213" s="66" t="s">
        <v>198</v>
      </c>
      <c r="E1213" s="66">
        <v>1.0</v>
      </c>
      <c r="F1213" s="66" t="s">
        <v>204</v>
      </c>
      <c r="G1213" s="66">
        <f t="shared" si="13"/>
        <v>0</v>
      </c>
      <c r="H1213" s="66">
        <v>7.2706</v>
      </c>
      <c r="I1213" s="66">
        <v>8.0286</v>
      </c>
      <c r="J1213" s="66">
        <v>7.7069</v>
      </c>
      <c r="K1213" s="81">
        <f t="shared" si="2"/>
        <v>0.758</v>
      </c>
      <c r="L1213" s="81">
        <f t="shared" si="3"/>
        <v>0.4363</v>
      </c>
    </row>
    <row r="1214">
      <c r="A1214" s="82">
        <v>44706.0</v>
      </c>
      <c r="B1214" s="82">
        <v>44706.0</v>
      </c>
      <c r="C1214" s="66">
        <v>2087.0</v>
      </c>
      <c r="D1214" s="66" t="s">
        <v>198</v>
      </c>
      <c r="E1214" s="66">
        <v>1.0</v>
      </c>
      <c r="F1214" s="66" t="s">
        <v>204</v>
      </c>
      <c r="G1214" s="66">
        <f t="shared" si="13"/>
        <v>0</v>
      </c>
      <c r="H1214" s="66">
        <v>7.4054</v>
      </c>
      <c r="I1214" s="66">
        <v>8.2112</v>
      </c>
      <c r="J1214" s="66">
        <v>7.8837</v>
      </c>
      <c r="K1214" s="81">
        <f t="shared" si="2"/>
        <v>0.8058</v>
      </c>
      <c r="L1214" s="81">
        <f t="shared" si="3"/>
        <v>0.4783</v>
      </c>
    </row>
    <row r="1215">
      <c r="A1215" s="82">
        <v>44706.0</v>
      </c>
      <c r="B1215" s="82">
        <v>44706.0</v>
      </c>
      <c r="C1215" s="66">
        <v>2004.0</v>
      </c>
      <c r="D1215" s="66" t="s">
        <v>198</v>
      </c>
      <c r="E1215" s="66">
        <v>1.0</v>
      </c>
      <c r="F1215" s="66" t="s">
        <v>204</v>
      </c>
      <c r="G1215" s="66">
        <f t="shared" si="13"/>
        <v>0</v>
      </c>
      <c r="H1215" s="66">
        <v>7.2764</v>
      </c>
      <c r="I1215" s="66">
        <v>8.0259</v>
      </c>
      <c r="J1215" s="66">
        <v>7.7201</v>
      </c>
      <c r="K1215" s="81">
        <f t="shared" si="2"/>
        <v>0.7495</v>
      </c>
      <c r="L1215" s="81">
        <f t="shared" si="3"/>
        <v>0.4437</v>
      </c>
    </row>
    <row r="1216">
      <c r="A1216" s="82">
        <v>44706.0</v>
      </c>
      <c r="B1216" s="82">
        <v>44706.0</v>
      </c>
      <c r="C1216" s="66">
        <v>2006.0</v>
      </c>
      <c r="D1216" s="66" t="s">
        <v>198</v>
      </c>
      <c r="E1216" s="66">
        <v>1.0</v>
      </c>
      <c r="F1216" s="66" t="s">
        <v>204</v>
      </c>
      <c r="G1216" s="66">
        <f t="shared" si="13"/>
        <v>0</v>
      </c>
      <c r="H1216" s="66">
        <v>7.3467</v>
      </c>
      <c r="I1216" s="66">
        <v>7.8966</v>
      </c>
      <c r="J1216" s="66">
        <v>7.6633</v>
      </c>
      <c r="K1216" s="81">
        <f t="shared" si="2"/>
        <v>0.5499</v>
      </c>
      <c r="L1216" s="81">
        <f t="shared" si="3"/>
        <v>0.3166</v>
      </c>
    </row>
    <row r="1217">
      <c r="A1217" s="82">
        <v>44706.0</v>
      </c>
      <c r="B1217" s="82">
        <v>44706.0</v>
      </c>
      <c r="C1217" s="66">
        <v>2091.0</v>
      </c>
      <c r="D1217" s="66" t="s">
        <v>198</v>
      </c>
      <c r="E1217" s="66">
        <v>0.0</v>
      </c>
      <c r="F1217" s="66" t="s">
        <v>204</v>
      </c>
      <c r="G1217" s="66">
        <f t="shared" si="13"/>
        <v>0</v>
      </c>
      <c r="H1217" s="66">
        <v>7.3098</v>
      </c>
      <c r="I1217" s="66">
        <v>7.7719</v>
      </c>
      <c r="J1217" s="66">
        <v>7.54</v>
      </c>
      <c r="K1217" s="81">
        <f t="shared" si="2"/>
        <v>0.4621</v>
      </c>
      <c r="L1217" s="81">
        <f t="shared" si="3"/>
        <v>0.2302</v>
      </c>
    </row>
    <row r="1218">
      <c r="A1218" s="82">
        <v>44706.0</v>
      </c>
      <c r="B1218" s="82">
        <v>44706.0</v>
      </c>
      <c r="C1218" s="66">
        <v>2004.0</v>
      </c>
      <c r="D1218" s="66" t="s">
        <v>198</v>
      </c>
      <c r="E1218" s="66">
        <v>0.0</v>
      </c>
      <c r="F1218" s="66" t="s">
        <v>204</v>
      </c>
      <c r="G1218" s="66">
        <f t="shared" si="13"/>
        <v>0</v>
      </c>
      <c r="H1218" s="66">
        <v>7.1998</v>
      </c>
      <c r="I1218" s="66">
        <v>7.6097</v>
      </c>
      <c r="J1218" s="66">
        <v>7.4196</v>
      </c>
      <c r="K1218" s="81">
        <f t="shared" si="2"/>
        <v>0.4099</v>
      </c>
      <c r="L1218" s="81">
        <f t="shared" si="3"/>
        <v>0.2198</v>
      </c>
    </row>
    <row r="1219">
      <c r="A1219" s="82">
        <v>44706.0</v>
      </c>
      <c r="B1219" s="82">
        <v>44706.0</v>
      </c>
      <c r="C1219" s="66">
        <v>2089.0</v>
      </c>
      <c r="D1219" s="66" t="s">
        <v>198</v>
      </c>
      <c r="E1219" s="66">
        <v>0.0</v>
      </c>
      <c r="F1219" s="66" t="s">
        <v>205</v>
      </c>
      <c r="G1219" s="66">
        <f t="shared" si="13"/>
        <v>0</v>
      </c>
      <c r="H1219" s="66">
        <v>7.3209</v>
      </c>
      <c r="I1219" s="66">
        <v>9.151</v>
      </c>
      <c r="J1219" s="66">
        <v>8.301</v>
      </c>
      <c r="K1219" s="81">
        <f t="shared" si="2"/>
        <v>1.8301</v>
      </c>
      <c r="L1219" s="81">
        <f t="shared" si="3"/>
        <v>0.9801</v>
      </c>
    </row>
    <row r="1220">
      <c r="A1220" s="82">
        <v>44706.0</v>
      </c>
      <c r="B1220" s="82">
        <v>44706.0</v>
      </c>
      <c r="C1220" s="66">
        <v>2012.0</v>
      </c>
      <c r="D1220" s="66" t="s">
        <v>198</v>
      </c>
      <c r="E1220" s="66">
        <v>0.0</v>
      </c>
      <c r="F1220" s="66" t="s">
        <v>205</v>
      </c>
      <c r="G1220" s="66">
        <f t="shared" si="13"/>
        <v>0</v>
      </c>
      <c r="H1220" s="66">
        <v>6.3417</v>
      </c>
      <c r="I1220" s="66">
        <v>7.6236</v>
      </c>
      <c r="J1220" s="66">
        <v>7.0694</v>
      </c>
      <c r="K1220" s="81">
        <f t="shared" si="2"/>
        <v>1.2819</v>
      </c>
      <c r="L1220" s="81">
        <f t="shared" si="3"/>
        <v>0.7277</v>
      </c>
    </row>
    <row r="1221">
      <c r="A1221" s="82">
        <v>44706.0</v>
      </c>
      <c r="B1221" s="82">
        <v>44706.0</v>
      </c>
      <c r="C1221" s="66">
        <v>2007.0</v>
      </c>
      <c r="D1221" s="66" t="s">
        <v>198</v>
      </c>
      <c r="E1221" s="66">
        <v>0.0</v>
      </c>
      <c r="F1221" s="66" t="s">
        <v>204</v>
      </c>
      <c r="G1221" s="66">
        <f t="shared" si="13"/>
        <v>0</v>
      </c>
      <c r="H1221" s="66">
        <v>7.2198</v>
      </c>
      <c r="I1221" s="66">
        <v>7.7037</v>
      </c>
      <c r="J1221" s="66">
        <v>7.4816</v>
      </c>
      <c r="K1221" s="81">
        <f t="shared" si="2"/>
        <v>0.4839</v>
      </c>
      <c r="L1221" s="81">
        <f t="shared" si="3"/>
        <v>0.2618</v>
      </c>
    </row>
    <row r="1222">
      <c r="A1222" s="82">
        <v>44706.0</v>
      </c>
      <c r="B1222" s="82">
        <v>44706.0</v>
      </c>
      <c r="C1222" s="66">
        <v>2090.0</v>
      </c>
      <c r="D1222" s="66" t="s">
        <v>198</v>
      </c>
      <c r="E1222" s="66">
        <v>1.0</v>
      </c>
      <c r="F1222" s="66" t="s">
        <v>204</v>
      </c>
      <c r="G1222" s="66">
        <f t="shared" si="13"/>
        <v>0</v>
      </c>
      <c r="H1222" s="66">
        <v>7.2808</v>
      </c>
      <c r="I1222" s="66">
        <v>7.7041</v>
      </c>
      <c r="J1222" s="66">
        <v>7.5415</v>
      </c>
      <c r="K1222" s="81">
        <f t="shared" si="2"/>
        <v>0.4233</v>
      </c>
      <c r="L1222" s="81">
        <f t="shared" si="3"/>
        <v>0.2607</v>
      </c>
    </row>
    <row r="1223">
      <c r="A1223" s="82">
        <v>44706.0</v>
      </c>
      <c r="B1223" s="82">
        <v>44706.0</v>
      </c>
      <c r="C1223" s="66">
        <v>2015.0</v>
      </c>
      <c r="D1223" s="66" t="s">
        <v>198</v>
      </c>
      <c r="E1223" s="66">
        <v>1.0</v>
      </c>
      <c r="F1223" s="66" t="s">
        <v>204</v>
      </c>
      <c r="G1223" s="66">
        <f t="shared" si="13"/>
        <v>0</v>
      </c>
      <c r="H1223" s="66">
        <v>6.353</v>
      </c>
      <c r="I1223" s="66">
        <v>6.7371</v>
      </c>
      <c r="J1223" s="66">
        <v>6.6282</v>
      </c>
      <c r="K1223" s="81">
        <f t="shared" si="2"/>
        <v>0.3841</v>
      </c>
      <c r="L1223" s="81">
        <f t="shared" si="3"/>
        <v>0.2752</v>
      </c>
    </row>
    <row r="1224">
      <c r="A1224" s="82">
        <v>44706.0</v>
      </c>
      <c r="B1224" s="82">
        <v>44706.0</v>
      </c>
      <c r="C1224" s="66">
        <v>2093.0</v>
      </c>
      <c r="D1224" s="66" t="s">
        <v>198</v>
      </c>
      <c r="E1224" s="66">
        <v>1.0</v>
      </c>
      <c r="F1224" s="66" t="s">
        <v>205</v>
      </c>
      <c r="G1224" s="66">
        <f t="shared" si="13"/>
        <v>0</v>
      </c>
      <c r="H1224" s="66">
        <v>7.3452</v>
      </c>
      <c r="I1224" s="66">
        <v>9.2508</v>
      </c>
      <c r="J1224" s="66">
        <v>8.5037</v>
      </c>
      <c r="K1224" s="81">
        <f t="shared" si="2"/>
        <v>1.9056</v>
      </c>
      <c r="L1224" s="81">
        <f t="shared" si="3"/>
        <v>1.1585</v>
      </c>
    </row>
    <row r="1225">
      <c r="A1225" s="82">
        <v>44706.0</v>
      </c>
      <c r="B1225" s="82">
        <v>44706.0</v>
      </c>
      <c r="C1225" s="66">
        <v>2088.0</v>
      </c>
      <c r="D1225" s="66" t="s">
        <v>198</v>
      </c>
      <c r="E1225" s="66">
        <v>1.0</v>
      </c>
      <c r="F1225" s="66" t="s">
        <v>204</v>
      </c>
      <c r="G1225" s="66">
        <f t="shared" si="13"/>
        <v>0</v>
      </c>
      <c r="H1225" s="66">
        <v>7.5422</v>
      </c>
      <c r="I1225" s="66">
        <v>8.3913</v>
      </c>
      <c r="J1225" s="66">
        <v>8.0664</v>
      </c>
      <c r="K1225" s="81">
        <f t="shared" si="2"/>
        <v>0.8491</v>
      </c>
      <c r="L1225" s="81">
        <f t="shared" si="3"/>
        <v>0.5242</v>
      </c>
    </row>
    <row r="1226">
      <c r="A1226" s="82">
        <v>44706.0</v>
      </c>
      <c r="B1226" s="82">
        <v>44706.0</v>
      </c>
      <c r="C1226" s="66">
        <v>2092.0</v>
      </c>
      <c r="D1226" s="66" t="s">
        <v>198</v>
      </c>
      <c r="E1226" s="66">
        <v>1.0</v>
      </c>
      <c r="F1226" s="66" t="s">
        <v>204</v>
      </c>
      <c r="G1226" s="66">
        <f t="shared" si="13"/>
        <v>0</v>
      </c>
      <c r="H1226" s="66">
        <v>7.2566</v>
      </c>
      <c r="I1226" s="66">
        <v>7.7982</v>
      </c>
      <c r="J1226" s="66">
        <v>7.549</v>
      </c>
      <c r="K1226" s="81">
        <f t="shared" si="2"/>
        <v>0.5416</v>
      </c>
      <c r="L1226" s="81">
        <f t="shared" si="3"/>
        <v>0.2924</v>
      </c>
    </row>
    <row r="1227">
      <c r="A1227" s="82">
        <v>44706.0</v>
      </c>
      <c r="B1227" s="82">
        <v>44706.0</v>
      </c>
      <c r="C1227" s="66">
        <v>2012.0</v>
      </c>
      <c r="D1227" s="66" t="s">
        <v>198</v>
      </c>
      <c r="E1227" s="66">
        <v>0.0</v>
      </c>
      <c r="F1227" s="66" t="s">
        <v>204</v>
      </c>
      <c r="G1227" s="66">
        <f t="shared" si="13"/>
        <v>0</v>
      </c>
      <c r="H1227" s="66">
        <v>7.2886</v>
      </c>
      <c r="I1227" s="66">
        <v>7.7253</v>
      </c>
      <c r="J1227" s="66">
        <v>7.5513</v>
      </c>
      <c r="K1227" s="81">
        <f t="shared" si="2"/>
        <v>0.4367</v>
      </c>
      <c r="L1227" s="81">
        <f t="shared" si="3"/>
        <v>0.2627</v>
      </c>
    </row>
    <row r="1228">
      <c r="A1228" s="82">
        <v>44706.0</v>
      </c>
      <c r="B1228" s="82">
        <v>44706.0</v>
      </c>
      <c r="C1228" s="66">
        <v>1478.0</v>
      </c>
      <c r="D1228" s="66" t="s">
        <v>198</v>
      </c>
      <c r="E1228" s="66">
        <v>0.0</v>
      </c>
      <c r="F1228" s="66" t="s">
        <v>205</v>
      </c>
      <c r="G1228" s="66">
        <f t="shared" si="13"/>
        <v>0</v>
      </c>
      <c r="H1228" s="66">
        <v>6.3311</v>
      </c>
      <c r="I1228" s="66">
        <v>7.6259</v>
      </c>
      <c r="J1228" s="66">
        <v>7.0796</v>
      </c>
      <c r="K1228" s="81">
        <f t="shared" si="2"/>
        <v>1.2948</v>
      </c>
      <c r="L1228" s="81">
        <f t="shared" si="3"/>
        <v>0.7485</v>
      </c>
    </row>
    <row r="1229">
      <c r="A1229" s="82">
        <v>44706.0</v>
      </c>
      <c r="B1229" s="82">
        <v>44706.0</v>
      </c>
      <c r="C1229" s="66">
        <v>2025.0</v>
      </c>
      <c r="D1229" s="66" t="s">
        <v>203</v>
      </c>
      <c r="E1229" s="66">
        <v>1.0</v>
      </c>
      <c r="F1229" s="66" t="s">
        <v>204</v>
      </c>
      <c r="G1229" s="66">
        <f t="shared" si="13"/>
        <v>0</v>
      </c>
      <c r="H1229" s="66">
        <v>0.0</v>
      </c>
      <c r="I1229" s="66">
        <v>0.51</v>
      </c>
      <c r="J1229" s="66">
        <v>0.303</v>
      </c>
      <c r="K1229" s="81">
        <f t="shared" si="2"/>
        <v>0.51</v>
      </c>
      <c r="L1229" s="81">
        <f t="shared" si="3"/>
        <v>0.303</v>
      </c>
    </row>
    <row r="1230">
      <c r="A1230" s="82">
        <v>44706.0</v>
      </c>
      <c r="B1230" s="82">
        <v>44706.0</v>
      </c>
      <c r="C1230" s="66">
        <v>2021.0</v>
      </c>
      <c r="D1230" s="66" t="s">
        <v>203</v>
      </c>
      <c r="E1230" s="66">
        <v>0.0</v>
      </c>
      <c r="F1230" s="66" t="s">
        <v>205</v>
      </c>
      <c r="G1230" s="66">
        <f t="shared" si="13"/>
        <v>0</v>
      </c>
      <c r="H1230" s="66">
        <v>0.0</v>
      </c>
      <c r="I1230" s="66">
        <v>1.71</v>
      </c>
      <c r="J1230" s="66">
        <v>0.9355</v>
      </c>
      <c r="K1230" s="81">
        <f t="shared" si="2"/>
        <v>1.71</v>
      </c>
      <c r="L1230" s="81">
        <f t="shared" si="3"/>
        <v>0.9355</v>
      </c>
    </row>
    <row r="1231">
      <c r="A1231" s="82">
        <v>44706.0</v>
      </c>
      <c r="B1231" s="82">
        <v>44706.0</v>
      </c>
      <c r="C1231" s="66">
        <v>2012.0</v>
      </c>
      <c r="D1231" s="66" t="s">
        <v>203</v>
      </c>
      <c r="E1231" s="66">
        <v>0.0</v>
      </c>
      <c r="F1231" s="66" t="s">
        <v>204</v>
      </c>
      <c r="G1231" s="66">
        <f t="shared" si="13"/>
        <v>0</v>
      </c>
      <c r="H1231" s="66">
        <v>0.0</v>
      </c>
      <c r="I1231" s="66">
        <v>0.3</v>
      </c>
      <c r="J1231" s="66">
        <v>0.163</v>
      </c>
      <c r="K1231" s="81">
        <f t="shared" si="2"/>
        <v>0.3</v>
      </c>
      <c r="L1231" s="81">
        <f t="shared" si="3"/>
        <v>0.163</v>
      </c>
    </row>
    <row r="1232">
      <c r="A1232" s="82">
        <v>44706.0</v>
      </c>
      <c r="B1232" s="82">
        <v>44706.0</v>
      </c>
      <c r="C1232" s="66">
        <v>2027.0</v>
      </c>
      <c r="D1232" s="66" t="s">
        <v>203</v>
      </c>
      <c r="E1232" s="66">
        <v>0.0</v>
      </c>
      <c r="F1232" s="66" t="s">
        <v>205</v>
      </c>
      <c r="G1232" s="66">
        <f t="shared" si="13"/>
        <v>0</v>
      </c>
      <c r="H1232" s="66">
        <v>0.0</v>
      </c>
      <c r="I1232" s="66">
        <v>4.44</v>
      </c>
      <c r="J1232" s="66">
        <v>2.586</v>
      </c>
      <c r="K1232" s="81">
        <f t="shared" si="2"/>
        <v>4.44</v>
      </c>
      <c r="L1232" s="81">
        <f t="shared" si="3"/>
        <v>2.586</v>
      </c>
    </row>
    <row r="1233">
      <c r="A1233" s="82">
        <v>44706.0</v>
      </c>
      <c r="B1233" s="82">
        <v>44706.0</v>
      </c>
      <c r="C1233" s="66">
        <v>2089.0</v>
      </c>
      <c r="D1233" s="66" t="s">
        <v>203</v>
      </c>
      <c r="E1233" s="66">
        <v>0.0</v>
      </c>
      <c r="F1233" s="66" t="s">
        <v>204</v>
      </c>
      <c r="G1233" s="66">
        <f t="shared" si="13"/>
        <v>0</v>
      </c>
      <c r="H1233" s="66">
        <v>0.0</v>
      </c>
      <c r="I1233" s="66">
        <v>0.35</v>
      </c>
      <c r="J1233" s="66">
        <v>0.17</v>
      </c>
      <c r="K1233" s="81">
        <f t="shared" si="2"/>
        <v>0.35</v>
      </c>
      <c r="L1233" s="81">
        <f t="shared" si="3"/>
        <v>0.17</v>
      </c>
    </row>
    <row r="1234">
      <c r="A1234" s="82">
        <v>44706.0</v>
      </c>
      <c r="B1234" s="82">
        <v>44706.0</v>
      </c>
      <c r="C1234" s="66">
        <v>2086.0</v>
      </c>
      <c r="D1234" s="66" t="s">
        <v>203</v>
      </c>
      <c r="E1234" s="66">
        <v>0.0</v>
      </c>
      <c r="F1234" s="66" t="s">
        <v>205</v>
      </c>
      <c r="G1234" s="66">
        <f t="shared" si="13"/>
        <v>0</v>
      </c>
      <c r="H1234" s="66">
        <v>0.0</v>
      </c>
      <c r="I1234" s="66">
        <v>2.61</v>
      </c>
      <c r="J1234" s="66">
        <v>1.366</v>
      </c>
      <c r="K1234" s="81">
        <f t="shared" si="2"/>
        <v>2.61</v>
      </c>
      <c r="L1234" s="81">
        <f t="shared" si="3"/>
        <v>1.366</v>
      </c>
    </row>
    <row r="1235">
      <c r="A1235" s="82">
        <v>44706.0</v>
      </c>
      <c r="B1235" s="82">
        <v>44706.0</v>
      </c>
      <c r="C1235" s="66">
        <v>2091.0</v>
      </c>
      <c r="D1235" s="66" t="s">
        <v>203</v>
      </c>
      <c r="E1235" s="66">
        <v>0.0</v>
      </c>
      <c r="F1235" s="66" t="s">
        <v>205</v>
      </c>
      <c r="G1235" s="66">
        <f t="shared" si="13"/>
        <v>0</v>
      </c>
      <c r="H1235" s="66">
        <v>0.0</v>
      </c>
      <c r="I1235" s="66">
        <v>2.76</v>
      </c>
      <c r="J1235" s="66">
        <v>1.536</v>
      </c>
      <c r="K1235" s="81">
        <f t="shared" si="2"/>
        <v>2.76</v>
      </c>
      <c r="L1235" s="81">
        <f t="shared" si="3"/>
        <v>1.536</v>
      </c>
    </row>
    <row r="1236">
      <c r="A1236" s="82">
        <v>44706.0</v>
      </c>
      <c r="B1236" s="82">
        <v>44706.0</v>
      </c>
      <c r="C1236" s="66">
        <v>2092.0</v>
      </c>
      <c r="D1236" s="66" t="s">
        <v>203</v>
      </c>
      <c r="E1236" s="66">
        <v>1.0</v>
      </c>
      <c r="F1236" s="66" t="s">
        <v>205</v>
      </c>
      <c r="G1236" s="66">
        <f t="shared" si="13"/>
        <v>0</v>
      </c>
      <c r="H1236" s="66">
        <v>0.0</v>
      </c>
      <c r="I1236" s="66">
        <v>0.88</v>
      </c>
      <c r="J1236" s="66">
        <v>0.5439</v>
      </c>
      <c r="K1236" s="81">
        <f t="shared" si="2"/>
        <v>0.88</v>
      </c>
      <c r="L1236" s="81">
        <f t="shared" si="3"/>
        <v>0.5439</v>
      </c>
    </row>
    <row r="1237">
      <c r="A1237" s="82">
        <v>44706.0</v>
      </c>
      <c r="B1237" s="82">
        <v>44706.0</v>
      </c>
      <c r="C1237" s="66">
        <v>2031.0</v>
      </c>
      <c r="D1237" s="66" t="s">
        <v>203</v>
      </c>
      <c r="E1237" s="66">
        <v>0.0</v>
      </c>
      <c r="F1237" s="66" t="s">
        <v>204</v>
      </c>
      <c r="G1237" s="66">
        <f t="shared" si="13"/>
        <v>0</v>
      </c>
      <c r="H1237" s="66">
        <v>0.0</v>
      </c>
      <c r="I1237" s="66">
        <v>0.31</v>
      </c>
      <c r="J1237" s="66">
        <v>0.1798</v>
      </c>
      <c r="K1237" s="81">
        <f t="shared" si="2"/>
        <v>0.31</v>
      </c>
      <c r="L1237" s="81">
        <f t="shared" si="3"/>
        <v>0.1798</v>
      </c>
    </row>
    <row r="1238">
      <c r="A1238" s="82">
        <v>44706.0</v>
      </c>
      <c r="B1238" s="82">
        <v>44706.0</v>
      </c>
      <c r="C1238" s="66">
        <v>2029.0</v>
      </c>
      <c r="D1238" s="66" t="s">
        <v>203</v>
      </c>
      <c r="E1238" s="66">
        <v>0.0</v>
      </c>
      <c r="F1238" s="66" t="s">
        <v>205</v>
      </c>
      <c r="G1238" s="66">
        <f t="shared" si="13"/>
        <v>0</v>
      </c>
      <c r="H1238" s="66">
        <v>0.0</v>
      </c>
      <c r="I1238" s="66">
        <v>3.47</v>
      </c>
      <c r="J1238" s="66">
        <v>2.0098</v>
      </c>
      <c r="K1238" s="81">
        <f t="shared" si="2"/>
        <v>3.47</v>
      </c>
      <c r="L1238" s="81">
        <f t="shared" si="3"/>
        <v>2.0098</v>
      </c>
    </row>
    <row r="1239">
      <c r="A1239" s="82">
        <v>44706.0</v>
      </c>
      <c r="B1239" s="82">
        <v>44706.0</v>
      </c>
      <c r="C1239" s="66">
        <v>2087.0</v>
      </c>
      <c r="D1239" s="66" t="s">
        <v>203</v>
      </c>
      <c r="E1239" s="66">
        <v>0.0</v>
      </c>
      <c r="F1239" s="66" t="s">
        <v>205</v>
      </c>
      <c r="G1239" s="66">
        <f t="shared" si="13"/>
        <v>0</v>
      </c>
      <c r="H1239" s="66">
        <v>0.0</v>
      </c>
      <c r="I1239" s="66">
        <v>1.23</v>
      </c>
      <c r="J1239" s="66">
        <v>0.6418</v>
      </c>
      <c r="K1239" s="81">
        <f t="shared" si="2"/>
        <v>1.23</v>
      </c>
      <c r="L1239" s="81">
        <f t="shared" si="3"/>
        <v>0.6418</v>
      </c>
    </row>
    <row r="1240">
      <c r="A1240" s="82">
        <v>44706.0</v>
      </c>
      <c r="B1240" s="82">
        <v>44706.0</v>
      </c>
      <c r="C1240" s="66">
        <v>2005.0</v>
      </c>
      <c r="D1240" s="66" t="s">
        <v>203</v>
      </c>
      <c r="E1240" s="66">
        <v>1.0</v>
      </c>
      <c r="F1240" s="66" t="s">
        <v>204</v>
      </c>
      <c r="G1240" s="66">
        <f t="shared" si="13"/>
        <v>0</v>
      </c>
      <c r="H1240" s="66">
        <v>0.0</v>
      </c>
      <c r="I1240" s="66">
        <v>0.97</v>
      </c>
      <c r="J1240" s="66">
        <v>0.537</v>
      </c>
      <c r="K1240" s="81">
        <f t="shared" si="2"/>
        <v>0.97</v>
      </c>
      <c r="L1240" s="81">
        <f t="shared" si="3"/>
        <v>0.537</v>
      </c>
    </row>
    <row r="1241">
      <c r="A1241" s="82">
        <v>44706.0</v>
      </c>
      <c r="B1241" s="82">
        <v>44706.0</v>
      </c>
      <c r="C1241" s="66">
        <v>2012.0</v>
      </c>
      <c r="D1241" s="66" t="s">
        <v>203</v>
      </c>
      <c r="E1241" s="66">
        <v>1.0</v>
      </c>
      <c r="F1241" s="66" t="s">
        <v>204</v>
      </c>
      <c r="G1241" s="66">
        <f t="shared" si="13"/>
        <v>0</v>
      </c>
      <c r="H1241" s="66">
        <v>0.0</v>
      </c>
      <c r="I1241" s="66">
        <v>1.01</v>
      </c>
      <c r="J1241" s="66">
        <v>0.588</v>
      </c>
      <c r="K1241" s="81">
        <f t="shared" si="2"/>
        <v>1.01</v>
      </c>
      <c r="L1241" s="81">
        <f t="shared" si="3"/>
        <v>0.588</v>
      </c>
    </row>
    <row r="1242">
      <c r="A1242" s="82">
        <v>44706.0</v>
      </c>
      <c r="B1242" s="82">
        <v>44706.0</v>
      </c>
      <c r="C1242" s="66">
        <v>2030.0</v>
      </c>
      <c r="D1242" s="66" t="s">
        <v>203</v>
      </c>
      <c r="E1242" s="66">
        <v>0.0</v>
      </c>
      <c r="F1242" s="66" t="s">
        <v>205</v>
      </c>
      <c r="G1242" s="66">
        <f t="shared" si="13"/>
        <v>0</v>
      </c>
      <c r="H1242" s="66">
        <v>0.0</v>
      </c>
      <c r="I1242" s="66">
        <v>2.9</v>
      </c>
      <c r="J1242" s="66">
        <v>1.6621</v>
      </c>
      <c r="K1242" s="81">
        <f t="shared" si="2"/>
        <v>2.9</v>
      </c>
      <c r="L1242" s="81">
        <f t="shared" si="3"/>
        <v>1.6621</v>
      </c>
    </row>
    <row r="1243">
      <c r="A1243" s="82">
        <v>44706.0</v>
      </c>
      <c r="B1243" s="82">
        <v>44706.0</v>
      </c>
      <c r="C1243" s="66">
        <v>2005.0</v>
      </c>
      <c r="D1243" s="66" t="s">
        <v>203</v>
      </c>
      <c r="E1243" s="66">
        <v>0.0</v>
      </c>
      <c r="F1243" s="66" t="s">
        <v>205</v>
      </c>
      <c r="G1243" s="66">
        <f t="shared" si="13"/>
        <v>0</v>
      </c>
      <c r="H1243" s="66">
        <v>0.0</v>
      </c>
      <c r="I1243" s="66">
        <v>5.11</v>
      </c>
      <c r="J1243" s="66">
        <v>2.7511</v>
      </c>
      <c r="K1243" s="81">
        <f t="shared" si="2"/>
        <v>5.11</v>
      </c>
      <c r="L1243" s="81">
        <f t="shared" si="3"/>
        <v>2.7511</v>
      </c>
    </row>
    <row r="1244">
      <c r="A1244" s="82">
        <v>44706.0</v>
      </c>
      <c r="B1244" s="82">
        <v>44706.0</v>
      </c>
      <c r="C1244" s="66">
        <v>2006.0</v>
      </c>
      <c r="D1244" s="66" t="s">
        <v>203</v>
      </c>
      <c r="E1244" s="66">
        <v>0.0</v>
      </c>
      <c r="F1244" s="66" t="s">
        <v>205</v>
      </c>
      <c r="G1244" s="66">
        <f t="shared" si="13"/>
        <v>0</v>
      </c>
      <c r="H1244" s="66">
        <v>0.0</v>
      </c>
      <c r="I1244" s="66">
        <v>3.09</v>
      </c>
      <c r="J1244" s="66">
        <v>1.6786</v>
      </c>
      <c r="K1244" s="81">
        <f t="shared" si="2"/>
        <v>3.09</v>
      </c>
      <c r="L1244" s="81">
        <f t="shared" si="3"/>
        <v>1.6786</v>
      </c>
    </row>
    <row r="1245">
      <c r="A1245" s="82">
        <v>44706.0</v>
      </c>
      <c r="B1245" s="82">
        <v>44706.0</v>
      </c>
      <c r="C1245" s="66">
        <v>2028.0</v>
      </c>
      <c r="D1245" s="66" t="s">
        <v>203</v>
      </c>
      <c r="E1245" s="66">
        <v>0.0</v>
      </c>
      <c r="F1245" s="66" t="s">
        <v>205</v>
      </c>
      <c r="G1245" s="66">
        <f t="shared" si="13"/>
        <v>0</v>
      </c>
      <c r="H1245" s="66">
        <v>0.0</v>
      </c>
      <c r="I1245" s="66">
        <v>2.15</v>
      </c>
      <c r="J1245" s="66">
        <v>1.1911</v>
      </c>
      <c r="K1245" s="81">
        <f t="shared" si="2"/>
        <v>2.15</v>
      </c>
      <c r="L1245" s="81">
        <f t="shared" si="3"/>
        <v>1.1911</v>
      </c>
    </row>
    <row r="1246">
      <c r="A1246" s="82">
        <v>44706.0</v>
      </c>
      <c r="B1246" s="82">
        <v>44706.0</v>
      </c>
      <c r="C1246" s="66">
        <v>2008.0</v>
      </c>
      <c r="D1246" s="66" t="s">
        <v>203</v>
      </c>
      <c r="E1246" s="66">
        <v>1.0</v>
      </c>
      <c r="F1246" s="66" t="s">
        <v>204</v>
      </c>
      <c r="G1246" s="66">
        <f t="shared" si="13"/>
        <v>0</v>
      </c>
      <c r="H1246" s="66">
        <v>0.0</v>
      </c>
      <c r="I1246" s="66">
        <v>0.96</v>
      </c>
      <c r="J1246" s="66">
        <v>0.5896</v>
      </c>
      <c r="K1246" s="81">
        <f t="shared" si="2"/>
        <v>0.96</v>
      </c>
      <c r="L1246" s="81">
        <f t="shared" si="3"/>
        <v>0.5896</v>
      </c>
    </row>
    <row r="1247">
      <c r="A1247" s="82">
        <v>44706.0</v>
      </c>
      <c r="B1247" s="82">
        <v>44706.0</v>
      </c>
      <c r="C1247" s="66">
        <v>2004.0</v>
      </c>
      <c r="D1247" s="66" t="s">
        <v>203</v>
      </c>
      <c r="E1247" s="66">
        <v>0.0</v>
      </c>
      <c r="F1247" s="66" t="s">
        <v>205</v>
      </c>
      <c r="G1247" s="66">
        <f t="shared" si="13"/>
        <v>0</v>
      </c>
      <c r="H1247" s="66">
        <v>0.0</v>
      </c>
      <c r="I1247" s="66">
        <v>3.23</v>
      </c>
      <c r="J1247" s="66">
        <v>1.8147</v>
      </c>
      <c r="K1247" s="81">
        <f t="shared" si="2"/>
        <v>3.23</v>
      </c>
      <c r="L1247" s="81">
        <f t="shared" si="3"/>
        <v>1.8147</v>
      </c>
    </row>
    <row r="1248">
      <c r="A1248" s="82">
        <v>44706.0</v>
      </c>
      <c r="B1248" s="82">
        <v>44706.0</v>
      </c>
      <c r="C1248" s="66">
        <v>2027.0</v>
      </c>
      <c r="D1248" s="66" t="s">
        <v>203</v>
      </c>
      <c r="E1248" s="66">
        <v>0.0</v>
      </c>
      <c r="F1248" s="66" t="s">
        <v>204</v>
      </c>
      <c r="G1248" s="66">
        <f t="shared" si="13"/>
        <v>0</v>
      </c>
      <c r="H1248" s="66">
        <v>0.0</v>
      </c>
      <c r="I1248" s="66">
        <v>0.48</v>
      </c>
      <c r="J1248" s="66">
        <v>0.2889</v>
      </c>
      <c r="K1248" s="81">
        <f t="shared" si="2"/>
        <v>0.48</v>
      </c>
      <c r="L1248" s="81">
        <f t="shared" si="3"/>
        <v>0.2889</v>
      </c>
    </row>
    <row r="1249">
      <c r="A1249" s="82">
        <v>44706.0</v>
      </c>
      <c r="B1249" s="82">
        <v>44706.0</v>
      </c>
      <c r="C1249" s="66">
        <v>2022.0</v>
      </c>
      <c r="D1249" s="66" t="s">
        <v>203</v>
      </c>
      <c r="E1249" s="66">
        <v>1.0</v>
      </c>
      <c r="F1249" s="66" t="s">
        <v>205</v>
      </c>
      <c r="G1249" s="66">
        <f t="shared" si="13"/>
        <v>0</v>
      </c>
      <c r="H1249" s="66">
        <v>0.0</v>
      </c>
      <c r="I1249" s="66">
        <v>1.17</v>
      </c>
      <c r="J1249" s="66">
        <v>0.74</v>
      </c>
      <c r="K1249" s="81">
        <f t="shared" si="2"/>
        <v>1.17</v>
      </c>
      <c r="L1249" s="81">
        <f t="shared" si="3"/>
        <v>0.74</v>
      </c>
    </row>
    <row r="1250">
      <c r="A1250" s="82">
        <v>44706.0</v>
      </c>
      <c r="B1250" s="82">
        <v>44706.0</v>
      </c>
      <c r="C1250" s="66">
        <v>2022.0</v>
      </c>
      <c r="D1250" s="66" t="s">
        <v>203</v>
      </c>
      <c r="E1250" s="66">
        <v>0.0</v>
      </c>
      <c r="F1250" s="66" t="s">
        <v>205</v>
      </c>
      <c r="G1250" s="66">
        <f t="shared" si="13"/>
        <v>0</v>
      </c>
      <c r="H1250" s="66">
        <v>0.0</v>
      </c>
      <c r="I1250" s="66">
        <v>2.73</v>
      </c>
      <c r="J1250" s="66">
        <v>1.587</v>
      </c>
      <c r="K1250" s="81">
        <f t="shared" si="2"/>
        <v>2.73</v>
      </c>
      <c r="L1250" s="81">
        <f t="shared" si="3"/>
        <v>1.587</v>
      </c>
    </row>
    <row r="1251">
      <c r="A1251" s="82">
        <v>44706.0</v>
      </c>
      <c r="B1251" s="82">
        <v>44706.0</v>
      </c>
      <c r="C1251" s="66">
        <v>2093.0</v>
      </c>
      <c r="D1251" s="66" t="s">
        <v>203</v>
      </c>
      <c r="E1251" s="66">
        <v>0.0</v>
      </c>
      <c r="F1251" s="66" t="s">
        <v>205</v>
      </c>
      <c r="G1251" s="66">
        <f t="shared" si="13"/>
        <v>0</v>
      </c>
      <c r="H1251" s="66">
        <v>0.0</v>
      </c>
      <c r="I1251" s="66">
        <v>2.33</v>
      </c>
      <c r="J1251" s="66">
        <v>1.3554</v>
      </c>
      <c r="K1251" s="81">
        <f t="shared" si="2"/>
        <v>2.33</v>
      </c>
      <c r="L1251" s="81">
        <f t="shared" si="3"/>
        <v>1.3554</v>
      </c>
    </row>
    <row r="1252">
      <c r="A1252" s="82">
        <v>44706.0</v>
      </c>
      <c r="B1252" s="82">
        <v>44706.0</v>
      </c>
      <c r="C1252" s="66">
        <v>2023.0</v>
      </c>
      <c r="D1252" s="66" t="s">
        <v>203</v>
      </c>
      <c r="E1252" s="66">
        <v>1.0</v>
      </c>
      <c r="F1252" s="66" t="s">
        <v>204</v>
      </c>
      <c r="G1252" s="66">
        <f t="shared" si="13"/>
        <v>0</v>
      </c>
      <c r="H1252" s="66">
        <v>0.0</v>
      </c>
      <c r="I1252" s="66">
        <v>0.68</v>
      </c>
      <c r="J1252" s="66">
        <v>0.429</v>
      </c>
      <c r="K1252" s="81">
        <f t="shared" si="2"/>
        <v>0.68</v>
      </c>
      <c r="L1252" s="81">
        <f t="shared" si="3"/>
        <v>0.429</v>
      </c>
    </row>
    <row r="1253">
      <c r="A1253" s="82">
        <v>44706.0</v>
      </c>
      <c r="B1253" s="82">
        <v>44706.0</v>
      </c>
      <c r="C1253" s="66">
        <v>2085.0</v>
      </c>
      <c r="D1253" s="66" t="s">
        <v>203</v>
      </c>
      <c r="E1253" s="66">
        <v>0.0</v>
      </c>
      <c r="F1253" s="66" t="s">
        <v>204</v>
      </c>
      <c r="G1253" s="66">
        <f t="shared" si="13"/>
        <v>0</v>
      </c>
      <c r="H1253" s="66">
        <v>0.0</v>
      </c>
      <c r="I1253" s="66">
        <v>0.52</v>
      </c>
      <c r="J1253" s="66">
        <v>0.2674</v>
      </c>
      <c r="K1253" s="81">
        <f t="shared" si="2"/>
        <v>0.52</v>
      </c>
      <c r="L1253" s="81">
        <f t="shared" si="3"/>
        <v>0.2674</v>
      </c>
    </row>
    <row r="1254">
      <c r="A1254" s="82">
        <v>44706.0</v>
      </c>
      <c r="B1254" s="82">
        <v>44706.0</v>
      </c>
      <c r="C1254" s="66">
        <v>2090.0</v>
      </c>
      <c r="D1254" s="66" t="s">
        <v>203</v>
      </c>
      <c r="E1254" s="66">
        <v>1.0</v>
      </c>
      <c r="F1254" s="66" t="s">
        <v>204</v>
      </c>
      <c r="G1254" s="66">
        <f t="shared" si="13"/>
        <v>0</v>
      </c>
      <c r="H1254" s="66">
        <v>0.0</v>
      </c>
      <c r="I1254" s="66">
        <v>0.18</v>
      </c>
      <c r="J1254" s="66">
        <v>0.0999</v>
      </c>
      <c r="K1254" s="81">
        <f t="shared" si="2"/>
        <v>0.18</v>
      </c>
      <c r="L1254" s="81">
        <f t="shared" si="3"/>
        <v>0.0999</v>
      </c>
    </row>
    <row r="1255">
      <c r="A1255" s="82">
        <v>44706.0</v>
      </c>
      <c r="B1255" s="82">
        <v>44706.0</v>
      </c>
      <c r="C1255" s="66">
        <v>2027.0</v>
      </c>
      <c r="D1255" s="66" t="s">
        <v>203</v>
      </c>
      <c r="E1255" s="66">
        <v>1.0</v>
      </c>
      <c r="F1255" s="66" t="s">
        <v>204</v>
      </c>
      <c r="G1255" s="66">
        <f t="shared" si="13"/>
        <v>0</v>
      </c>
      <c r="H1255" s="66">
        <v>0.0</v>
      </c>
      <c r="I1255" s="66">
        <v>0.44</v>
      </c>
      <c r="J1255" s="66">
        <v>0.268</v>
      </c>
      <c r="K1255" s="81">
        <f t="shared" si="2"/>
        <v>0.44</v>
      </c>
      <c r="L1255" s="81">
        <f t="shared" si="3"/>
        <v>0.268</v>
      </c>
    </row>
    <row r="1256">
      <c r="A1256" s="82">
        <v>44706.0</v>
      </c>
      <c r="B1256" s="82">
        <v>44706.0</v>
      </c>
      <c r="C1256" s="66">
        <v>2029.0</v>
      </c>
      <c r="D1256" s="66" t="s">
        <v>203</v>
      </c>
      <c r="E1256" s="66">
        <v>0.0</v>
      </c>
      <c r="F1256" s="66" t="s">
        <v>204</v>
      </c>
      <c r="G1256" s="66">
        <f t="shared" si="13"/>
        <v>0</v>
      </c>
      <c r="H1256" s="66">
        <v>0.0</v>
      </c>
      <c r="I1256" s="66">
        <v>0.12</v>
      </c>
      <c r="J1256" s="66">
        <v>0.0731</v>
      </c>
      <c r="K1256" s="81">
        <f t="shared" si="2"/>
        <v>0.12</v>
      </c>
      <c r="L1256" s="81">
        <f t="shared" si="3"/>
        <v>0.0731</v>
      </c>
    </row>
    <row r="1257">
      <c r="A1257" s="82">
        <v>44706.0</v>
      </c>
      <c r="B1257" s="82">
        <v>44706.0</v>
      </c>
      <c r="C1257" s="66">
        <v>2004.0</v>
      </c>
      <c r="D1257" s="66" t="s">
        <v>203</v>
      </c>
      <c r="E1257" s="66">
        <v>1.0</v>
      </c>
      <c r="F1257" s="66" t="s">
        <v>204</v>
      </c>
      <c r="G1257" s="66">
        <f t="shared" si="13"/>
        <v>0</v>
      </c>
      <c r="H1257" s="66">
        <v>0.0</v>
      </c>
      <c r="I1257" s="66">
        <v>0.38</v>
      </c>
      <c r="J1257" s="66">
        <v>0.2191</v>
      </c>
      <c r="K1257" s="81">
        <f t="shared" si="2"/>
        <v>0.38</v>
      </c>
      <c r="L1257" s="81">
        <f t="shared" si="3"/>
        <v>0.2191</v>
      </c>
    </row>
    <row r="1258">
      <c r="A1258" s="82">
        <v>44706.0</v>
      </c>
      <c r="B1258" s="82">
        <v>44706.0</v>
      </c>
      <c r="C1258" s="66">
        <v>2023.0</v>
      </c>
      <c r="D1258" s="66" t="s">
        <v>203</v>
      </c>
      <c r="E1258" s="66">
        <v>0.0</v>
      </c>
      <c r="F1258" s="66" t="s">
        <v>205</v>
      </c>
      <c r="G1258" s="66">
        <f t="shared" si="13"/>
        <v>0</v>
      </c>
      <c r="H1258" s="66">
        <v>0.0</v>
      </c>
      <c r="I1258" s="66">
        <v>2.23</v>
      </c>
      <c r="J1258" s="66">
        <v>1.257</v>
      </c>
      <c r="K1258" s="81">
        <f t="shared" si="2"/>
        <v>2.23</v>
      </c>
      <c r="L1258" s="81">
        <f t="shared" si="3"/>
        <v>1.257</v>
      </c>
    </row>
    <row r="1259">
      <c r="A1259" s="82">
        <v>44706.0</v>
      </c>
      <c r="B1259" s="82">
        <v>44706.0</v>
      </c>
      <c r="C1259" s="66">
        <v>2088.0</v>
      </c>
      <c r="D1259" s="66" t="s">
        <v>203</v>
      </c>
      <c r="E1259" s="66">
        <v>0.0</v>
      </c>
      <c r="F1259" s="66" t="s">
        <v>204</v>
      </c>
      <c r="G1259" s="66">
        <f t="shared" si="13"/>
        <v>0</v>
      </c>
      <c r="H1259" s="66">
        <v>0.0</v>
      </c>
      <c r="I1259" s="66">
        <v>0.44</v>
      </c>
      <c r="J1259" s="66">
        <v>0.2223</v>
      </c>
      <c r="K1259" s="81">
        <f t="shared" si="2"/>
        <v>0.44</v>
      </c>
      <c r="L1259" s="81">
        <f t="shared" si="3"/>
        <v>0.2223</v>
      </c>
    </row>
    <row r="1260">
      <c r="A1260" s="82">
        <v>44706.0</v>
      </c>
      <c r="B1260" s="82">
        <v>44706.0</v>
      </c>
      <c r="C1260" s="66">
        <v>1478.0</v>
      </c>
      <c r="D1260" s="66" t="s">
        <v>203</v>
      </c>
      <c r="E1260" s="66">
        <v>0.0</v>
      </c>
      <c r="F1260" s="66" t="s">
        <v>204</v>
      </c>
      <c r="G1260" s="66">
        <f t="shared" si="13"/>
        <v>0</v>
      </c>
      <c r="H1260" s="66">
        <v>0.0</v>
      </c>
      <c r="I1260" s="66">
        <v>0.51</v>
      </c>
      <c r="J1260" s="66">
        <v>0.261</v>
      </c>
      <c r="K1260" s="81">
        <f t="shared" si="2"/>
        <v>0.51</v>
      </c>
      <c r="L1260" s="81">
        <f t="shared" si="3"/>
        <v>0.261</v>
      </c>
    </row>
    <row r="1261">
      <c r="A1261" s="82">
        <v>44706.0</v>
      </c>
      <c r="B1261" s="82">
        <v>44706.0</v>
      </c>
      <c r="C1261" s="66">
        <v>2026.0</v>
      </c>
      <c r="D1261" s="66" t="s">
        <v>203</v>
      </c>
      <c r="E1261" s="66">
        <v>0.0</v>
      </c>
      <c r="F1261" s="66" t="s">
        <v>205</v>
      </c>
      <c r="G1261" s="66">
        <f t="shared" si="13"/>
        <v>0</v>
      </c>
      <c r="H1261" s="66">
        <v>0.0</v>
      </c>
      <c r="I1261" s="66">
        <v>2.08</v>
      </c>
      <c r="J1261" s="66">
        <v>1.1422</v>
      </c>
      <c r="K1261" s="81">
        <f t="shared" si="2"/>
        <v>2.08</v>
      </c>
      <c r="L1261" s="81">
        <f t="shared" si="3"/>
        <v>1.1422</v>
      </c>
    </row>
    <row r="1262">
      <c r="A1262" s="82">
        <v>44706.0</v>
      </c>
      <c r="B1262" s="82">
        <v>44706.0</v>
      </c>
      <c r="C1262" s="66">
        <v>2028.0</v>
      </c>
      <c r="D1262" s="66" t="s">
        <v>203</v>
      </c>
      <c r="E1262" s="66">
        <v>1.0</v>
      </c>
      <c r="F1262" s="66" t="s">
        <v>204</v>
      </c>
      <c r="G1262" s="66">
        <f t="shared" si="13"/>
        <v>0</v>
      </c>
      <c r="H1262" s="66">
        <v>0.0</v>
      </c>
      <c r="I1262" s="66">
        <v>0.29</v>
      </c>
      <c r="J1262" s="66">
        <v>0.1705</v>
      </c>
      <c r="K1262" s="81">
        <f t="shared" si="2"/>
        <v>0.29</v>
      </c>
      <c r="L1262" s="81">
        <f t="shared" si="3"/>
        <v>0.1705</v>
      </c>
    </row>
    <row r="1263">
      <c r="A1263" s="82">
        <v>44706.0</v>
      </c>
      <c r="B1263" s="82">
        <v>44706.0</v>
      </c>
      <c r="C1263" s="66">
        <v>2025.0</v>
      </c>
      <c r="D1263" s="66" t="s">
        <v>203</v>
      </c>
      <c r="E1263" s="66">
        <v>0.0</v>
      </c>
      <c r="F1263" s="66" t="s">
        <v>204</v>
      </c>
      <c r="G1263" s="66">
        <f t="shared" si="13"/>
        <v>0</v>
      </c>
      <c r="H1263" s="66">
        <v>0.0</v>
      </c>
      <c r="I1263" s="66">
        <v>0.26</v>
      </c>
      <c r="J1263" s="66">
        <v>0.1522</v>
      </c>
      <c r="K1263" s="81">
        <f t="shared" si="2"/>
        <v>0.26</v>
      </c>
      <c r="L1263" s="81">
        <f t="shared" si="3"/>
        <v>0.1522</v>
      </c>
    </row>
    <row r="1264">
      <c r="A1264" s="82">
        <v>44706.0</v>
      </c>
      <c r="B1264" s="82">
        <v>44706.0</v>
      </c>
      <c r="C1264" s="66">
        <v>2031.0</v>
      </c>
      <c r="D1264" s="66" t="s">
        <v>203</v>
      </c>
      <c r="E1264" s="66">
        <v>0.0</v>
      </c>
      <c r="F1264" s="66" t="s">
        <v>205</v>
      </c>
      <c r="G1264" s="66">
        <f t="shared" si="13"/>
        <v>0</v>
      </c>
      <c r="H1264" s="66">
        <v>0.0</v>
      </c>
      <c r="I1264" s="66">
        <v>2.4</v>
      </c>
      <c r="J1264" s="66">
        <v>1.3173</v>
      </c>
      <c r="K1264" s="81">
        <f t="shared" si="2"/>
        <v>2.4</v>
      </c>
      <c r="L1264" s="81">
        <f t="shared" si="3"/>
        <v>1.3173</v>
      </c>
    </row>
    <row r="1265">
      <c r="A1265" s="82">
        <v>44706.0</v>
      </c>
      <c r="B1265" s="82">
        <v>44706.0</v>
      </c>
      <c r="C1265" s="66">
        <v>2092.0</v>
      </c>
      <c r="D1265" s="66" t="s">
        <v>203</v>
      </c>
      <c r="E1265" s="66">
        <v>0.0</v>
      </c>
      <c r="F1265" s="66" t="s">
        <v>205</v>
      </c>
      <c r="G1265" s="66">
        <f t="shared" si="13"/>
        <v>0</v>
      </c>
      <c r="H1265" s="66">
        <v>0.0</v>
      </c>
      <c r="I1265" s="66">
        <v>2.02</v>
      </c>
      <c r="J1265" s="66">
        <v>1.1237</v>
      </c>
      <c r="K1265" s="81">
        <f t="shared" si="2"/>
        <v>2.02</v>
      </c>
      <c r="L1265" s="81">
        <f t="shared" si="3"/>
        <v>1.1237</v>
      </c>
    </row>
    <row r="1266">
      <c r="A1266" s="82">
        <v>44706.0</v>
      </c>
      <c r="B1266" s="82">
        <v>44706.0</v>
      </c>
      <c r="C1266" s="66">
        <v>2020.0</v>
      </c>
      <c r="D1266" s="66" t="s">
        <v>203</v>
      </c>
      <c r="E1266" s="66">
        <v>0.0</v>
      </c>
      <c r="F1266" s="66" t="s">
        <v>204</v>
      </c>
      <c r="G1266" s="66">
        <f t="shared" si="13"/>
        <v>0</v>
      </c>
      <c r="H1266" s="66">
        <v>0.0</v>
      </c>
      <c r="I1266" s="66">
        <v>0.58</v>
      </c>
      <c r="J1266" s="66">
        <v>0.318</v>
      </c>
      <c r="K1266" s="81">
        <f t="shared" si="2"/>
        <v>0.58</v>
      </c>
      <c r="L1266" s="81">
        <f t="shared" si="3"/>
        <v>0.318</v>
      </c>
    </row>
    <row r="1267">
      <c r="A1267" s="82">
        <v>44706.0</v>
      </c>
      <c r="B1267" s="82">
        <v>44706.0</v>
      </c>
      <c r="C1267" s="66">
        <v>2090.0</v>
      </c>
      <c r="D1267" s="66" t="s">
        <v>203</v>
      </c>
      <c r="E1267" s="66">
        <v>0.0</v>
      </c>
      <c r="F1267" s="66" t="s">
        <v>205</v>
      </c>
      <c r="G1267" s="66">
        <f t="shared" si="13"/>
        <v>0</v>
      </c>
      <c r="H1267" s="66">
        <v>0.0</v>
      </c>
      <c r="I1267" s="66">
        <v>2.76</v>
      </c>
      <c r="J1267" s="66">
        <v>1.5209</v>
      </c>
      <c r="K1267" s="81">
        <f t="shared" si="2"/>
        <v>2.76</v>
      </c>
      <c r="L1267" s="81">
        <f t="shared" si="3"/>
        <v>1.5209</v>
      </c>
    </row>
    <row r="1268">
      <c r="A1268" s="82">
        <v>44706.0</v>
      </c>
      <c r="B1268" s="82">
        <v>44706.0</v>
      </c>
      <c r="C1268" s="66">
        <v>2029.0</v>
      </c>
      <c r="D1268" s="66" t="s">
        <v>203</v>
      </c>
      <c r="E1268" s="66">
        <v>1.0</v>
      </c>
      <c r="F1268" s="66" t="s">
        <v>204</v>
      </c>
      <c r="G1268" s="66">
        <f t="shared" si="13"/>
        <v>0</v>
      </c>
      <c r="H1268" s="66">
        <v>0.0</v>
      </c>
      <c r="I1268" s="66">
        <v>0.57</v>
      </c>
      <c r="J1268" s="66">
        <v>0.339</v>
      </c>
      <c r="K1268" s="81">
        <f t="shared" si="2"/>
        <v>0.57</v>
      </c>
      <c r="L1268" s="81">
        <f t="shared" si="3"/>
        <v>0.339</v>
      </c>
    </row>
    <row r="1269">
      <c r="A1269" s="82">
        <v>44706.0</v>
      </c>
      <c r="B1269" s="82">
        <v>44706.0</v>
      </c>
      <c r="C1269" s="66">
        <v>2021.0</v>
      </c>
      <c r="D1269" s="66" t="s">
        <v>203</v>
      </c>
      <c r="E1269" s="66">
        <v>1.0</v>
      </c>
      <c r="F1269" s="66" t="s">
        <v>204</v>
      </c>
      <c r="G1269" s="66">
        <f t="shared" si="13"/>
        <v>0</v>
      </c>
      <c r="H1269" s="66">
        <v>0.0</v>
      </c>
      <c r="I1269" s="66">
        <v>0.28</v>
      </c>
      <c r="J1269" s="66">
        <v>0.1632</v>
      </c>
      <c r="K1269" s="81">
        <f t="shared" si="2"/>
        <v>0.28</v>
      </c>
      <c r="L1269" s="81">
        <f t="shared" si="3"/>
        <v>0.1632</v>
      </c>
    </row>
    <row r="1270">
      <c r="A1270" s="82">
        <v>44706.0</v>
      </c>
      <c r="B1270" s="82">
        <v>44706.0</v>
      </c>
      <c r="C1270" s="66">
        <v>2006.0</v>
      </c>
      <c r="D1270" s="66" t="s">
        <v>203</v>
      </c>
      <c r="E1270" s="66">
        <v>0.0</v>
      </c>
      <c r="F1270" s="66" t="s">
        <v>204</v>
      </c>
      <c r="G1270" s="66">
        <f t="shared" si="13"/>
        <v>0</v>
      </c>
      <c r="H1270" s="66">
        <v>0.0</v>
      </c>
      <c r="I1270" s="66">
        <v>0.4</v>
      </c>
      <c r="J1270" s="66">
        <v>0.2254</v>
      </c>
      <c r="K1270" s="81">
        <f t="shared" si="2"/>
        <v>0.4</v>
      </c>
      <c r="L1270" s="81">
        <f t="shared" si="3"/>
        <v>0.2254</v>
      </c>
    </row>
    <row r="1271">
      <c r="A1271" s="82">
        <v>44706.0</v>
      </c>
      <c r="B1271" s="82">
        <v>44706.0</v>
      </c>
      <c r="C1271" s="66">
        <v>2030.0</v>
      </c>
      <c r="D1271" s="66" t="s">
        <v>203</v>
      </c>
      <c r="E1271" s="66">
        <v>1.0</v>
      </c>
      <c r="F1271" s="66" t="s">
        <v>204</v>
      </c>
      <c r="G1271" s="66">
        <f t="shared" si="13"/>
        <v>0</v>
      </c>
      <c r="H1271" s="66">
        <v>0.0</v>
      </c>
      <c r="I1271" s="66">
        <v>0.61</v>
      </c>
      <c r="J1271" s="66">
        <v>0.3709</v>
      </c>
      <c r="K1271" s="81">
        <f t="shared" si="2"/>
        <v>0.61</v>
      </c>
      <c r="L1271" s="81">
        <f t="shared" si="3"/>
        <v>0.3709</v>
      </c>
    </row>
    <row r="1272">
      <c r="A1272" s="82">
        <v>44706.0</v>
      </c>
      <c r="B1272" s="82">
        <v>44706.0</v>
      </c>
      <c r="C1272" s="66">
        <v>2020.0</v>
      </c>
      <c r="D1272" s="66" t="s">
        <v>203</v>
      </c>
      <c r="E1272" s="66">
        <v>1.0</v>
      </c>
      <c r="F1272" s="66" t="s">
        <v>204</v>
      </c>
      <c r="G1272" s="66">
        <f t="shared" si="13"/>
        <v>0</v>
      </c>
      <c r="H1272" s="66">
        <v>0.0</v>
      </c>
      <c r="I1272" s="66">
        <v>0.83</v>
      </c>
      <c r="J1272" s="66">
        <v>0.4667</v>
      </c>
      <c r="K1272" s="81">
        <f t="shared" si="2"/>
        <v>0.83</v>
      </c>
      <c r="L1272" s="81">
        <f t="shared" si="3"/>
        <v>0.4667</v>
      </c>
    </row>
    <row r="1273">
      <c r="A1273" s="82">
        <v>44706.0</v>
      </c>
      <c r="B1273" s="82">
        <v>44706.0</v>
      </c>
      <c r="C1273" s="66">
        <v>2092.0</v>
      </c>
      <c r="D1273" s="66" t="s">
        <v>203</v>
      </c>
      <c r="E1273" s="66">
        <v>0.0</v>
      </c>
      <c r="F1273" s="66" t="s">
        <v>204</v>
      </c>
      <c r="G1273" s="66">
        <f t="shared" si="13"/>
        <v>0</v>
      </c>
      <c r="H1273" s="66">
        <v>0.0</v>
      </c>
      <c r="I1273" s="66">
        <v>0.68</v>
      </c>
      <c r="J1273" s="66">
        <v>0.3666</v>
      </c>
      <c r="K1273" s="81">
        <f t="shared" si="2"/>
        <v>0.68</v>
      </c>
      <c r="L1273" s="81">
        <f t="shared" si="3"/>
        <v>0.3666</v>
      </c>
    </row>
    <row r="1274">
      <c r="A1274" s="82">
        <v>44706.0</v>
      </c>
      <c r="B1274" s="82">
        <v>44706.0</v>
      </c>
      <c r="C1274" s="66">
        <v>2013.0</v>
      </c>
      <c r="D1274" s="66" t="s">
        <v>203</v>
      </c>
      <c r="E1274" s="66">
        <v>0.0</v>
      </c>
      <c r="F1274" s="66" t="s">
        <v>205</v>
      </c>
      <c r="G1274" s="66">
        <f t="shared" si="13"/>
        <v>0</v>
      </c>
      <c r="H1274" s="66">
        <v>0.0</v>
      </c>
      <c r="I1274" s="66">
        <v>3.28</v>
      </c>
      <c r="J1274" s="66">
        <v>1.7613</v>
      </c>
      <c r="K1274" s="81">
        <f t="shared" si="2"/>
        <v>3.28</v>
      </c>
      <c r="L1274" s="81">
        <f t="shared" si="3"/>
        <v>1.7613</v>
      </c>
    </row>
    <row r="1275">
      <c r="A1275" s="82">
        <v>44706.0</v>
      </c>
      <c r="B1275" s="82">
        <v>44706.0</v>
      </c>
      <c r="C1275" s="66">
        <v>1478.0</v>
      </c>
      <c r="D1275" s="66" t="s">
        <v>203</v>
      </c>
      <c r="E1275" s="66">
        <v>1.0</v>
      </c>
      <c r="F1275" s="66" t="s">
        <v>204</v>
      </c>
      <c r="G1275" s="66">
        <f t="shared" si="13"/>
        <v>0</v>
      </c>
      <c r="H1275" s="66">
        <v>0.0</v>
      </c>
      <c r="I1275" s="66">
        <v>0.32</v>
      </c>
      <c r="J1275" s="66">
        <v>0.1741</v>
      </c>
      <c r="K1275" s="81">
        <f t="shared" si="2"/>
        <v>0.32</v>
      </c>
      <c r="L1275" s="81">
        <f t="shared" si="3"/>
        <v>0.1741</v>
      </c>
    </row>
    <row r="1276">
      <c r="A1276" s="82">
        <v>44706.0</v>
      </c>
      <c r="B1276" s="82">
        <v>44706.0</v>
      </c>
      <c r="C1276" s="66">
        <v>2088.0</v>
      </c>
      <c r="D1276" s="66" t="s">
        <v>203</v>
      </c>
      <c r="E1276" s="66">
        <v>0.0</v>
      </c>
      <c r="F1276" s="66" t="s">
        <v>205</v>
      </c>
      <c r="G1276" s="66">
        <f t="shared" si="13"/>
        <v>0</v>
      </c>
      <c r="H1276" s="66">
        <v>0.0</v>
      </c>
      <c r="I1276" s="66">
        <v>2.73</v>
      </c>
      <c r="J1276" s="66">
        <v>1.4096</v>
      </c>
      <c r="K1276" s="81">
        <f t="shared" si="2"/>
        <v>2.73</v>
      </c>
      <c r="L1276" s="81">
        <f t="shared" si="3"/>
        <v>1.4096</v>
      </c>
    </row>
    <row r="1277">
      <c r="A1277" s="82">
        <v>44706.0</v>
      </c>
      <c r="B1277" s="82">
        <v>44706.0</v>
      </c>
      <c r="C1277" s="66">
        <v>2022.0</v>
      </c>
      <c r="D1277" s="66" t="s">
        <v>203</v>
      </c>
      <c r="E1277" s="66">
        <v>0.0</v>
      </c>
      <c r="F1277" s="66" t="s">
        <v>204</v>
      </c>
      <c r="G1277" s="66">
        <f t="shared" si="13"/>
        <v>0</v>
      </c>
      <c r="H1277" s="66">
        <v>0.0</v>
      </c>
      <c r="I1277" s="66">
        <v>0.13</v>
      </c>
      <c r="J1277" s="66">
        <v>0.075</v>
      </c>
      <c r="K1277" s="81">
        <f t="shared" si="2"/>
        <v>0.13</v>
      </c>
      <c r="L1277" s="81">
        <f t="shared" si="3"/>
        <v>0.075</v>
      </c>
    </row>
    <row r="1278">
      <c r="A1278" s="82">
        <v>44706.0</v>
      </c>
      <c r="B1278" s="82">
        <v>44706.0</v>
      </c>
      <c r="C1278" s="66">
        <v>2015.0</v>
      </c>
      <c r="D1278" s="66" t="s">
        <v>203</v>
      </c>
      <c r="E1278" s="66">
        <v>1.0</v>
      </c>
      <c r="F1278" s="66" t="s">
        <v>204</v>
      </c>
      <c r="G1278" s="66">
        <f t="shared" si="13"/>
        <v>0</v>
      </c>
      <c r="H1278" s="66">
        <v>0.0</v>
      </c>
      <c r="I1278" s="66">
        <v>0.55</v>
      </c>
      <c r="J1278" s="66">
        <v>0.3325</v>
      </c>
      <c r="K1278" s="81">
        <f t="shared" si="2"/>
        <v>0.55</v>
      </c>
      <c r="L1278" s="81">
        <f t="shared" si="3"/>
        <v>0.3325</v>
      </c>
    </row>
    <row r="1279">
      <c r="A1279" s="82">
        <v>44706.0</v>
      </c>
      <c r="B1279" s="82">
        <v>44706.0</v>
      </c>
      <c r="C1279" s="66">
        <v>2088.0</v>
      </c>
      <c r="D1279" s="66" t="s">
        <v>203</v>
      </c>
      <c r="E1279" s="66">
        <v>1.0</v>
      </c>
      <c r="F1279" s="66" t="s">
        <v>204</v>
      </c>
      <c r="G1279" s="66">
        <f t="shared" si="13"/>
        <v>0</v>
      </c>
      <c r="H1279" s="66">
        <v>0.0</v>
      </c>
      <c r="I1279" s="66">
        <v>0.33</v>
      </c>
      <c r="J1279" s="66">
        <v>0.1891</v>
      </c>
      <c r="K1279" s="81">
        <f t="shared" si="2"/>
        <v>0.33</v>
      </c>
      <c r="L1279" s="81">
        <f t="shared" si="3"/>
        <v>0.1891</v>
      </c>
    </row>
    <row r="1280">
      <c r="A1280" s="82">
        <v>44706.0</v>
      </c>
      <c r="B1280" s="82">
        <v>44706.0</v>
      </c>
      <c r="C1280" s="66">
        <v>2093.0</v>
      </c>
      <c r="D1280" s="66" t="s">
        <v>203</v>
      </c>
      <c r="E1280" s="66">
        <v>1.0</v>
      </c>
      <c r="F1280" s="66" t="s">
        <v>205</v>
      </c>
      <c r="G1280" s="66">
        <f t="shared" si="13"/>
        <v>0</v>
      </c>
      <c r="H1280" s="66">
        <v>0.0</v>
      </c>
      <c r="I1280" s="66">
        <v>0.77</v>
      </c>
      <c r="J1280" s="66">
        <v>0.4866</v>
      </c>
      <c r="K1280" s="81">
        <f t="shared" si="2"/>
        <v>0.77</v>
      </c>
      <c r="L1280" s="81">
        <f t="shared" si="3"/>
        <v>0.4866</v>
      </c>
    </row>
    <row r="1281">
      <c r="A1281" s="82">
        <v>44706.0</v>
      </c>
      <c r="B1281" s="82">
        <v>44706.0</v>
      </c>
      <c r="C1281" s="66">
        <v>2087.0</v>
      </c>
      <c r="D1281" s="66" t="s">
        <v>203</v>
      </c>
      <c r="E1281" s="66">
        <v>1.0</v>
      </c>
      <c r="F1281" s="66" t="s">
        <v>204</v>
      </c>
      <c r="G1281" s="66">
        <f t="shared" si="13"/>
        <v>0</v>
      </c>
      <c r="H1281" s="66">
        <v>0.0</v>
      </c>
      <c r="I1281" s="66">
        <v>0.4</v>
      </c>
      <c r="J1281" s="66">
        <v>0.211</v>
      </c>
      <c r="K1281" s="81">
        <f t="shared" si="2"/>
        <v>0.4</v>
      </c>
      <c r="L1281" s="81">
        <f t="shared" si="3"/>
        <v>0.211</v>
      </c>
    </row>
    <row r="1282">
      <c r="A1282" s="82">
        <v>44706.0</v>
      </c>
      <c r="B1282" s="82">
        <v>44706.0</v>
      </c>
      <c r="C1282" s="66">
        <v>2004.0</v>
      </c>
      <c r="D1282" s="66" t="s">
        <v>203</v>
      </c>
      <c r="E1282" s="66">
        <v>0.0</v>
      </c>
      <c r="F1282" s="66" t="s">
        <v>204</v>
      </c>
      <c r="G1282" s="66">
        <f t="shared" si="13"/>
        <v>0</v>
      </c>
      <c r="H1282" s="66">
        <v>0.0</v>
      </c>
      <c r="I1282" s="66">
        <v>0.72</v>
      </c>
      <c r="J1282" s="66">
        <v>0.3902</v>
      </c>
      <c r="K1282" s="81">
        <f t="shared" si="2"/>
        <v>0.72</v>
      </c>
      <c r="L1282" s="81">
        <f t="shared" si="3"/>
        <v>0.3902</v>
      </c>
    </row>
    <row r="1283">
      <c r="A1283" s="82">
        <v>44706.0</v>
      </c>
      <c r="B1283" s="82">
        <v>44706.0</v>
      </c>
      <c r="C1283" s="66" t="s">
        <v>221</v>
      </c>
      <c r="D1283" s="66" t="s">
        <v>203</v>
      </c>
      <c r="E1283" s="66">
        <v>0.0</v>
      </c>
      <c r="F1283" s="66" t="s">
        <v>199</v>
      </c>
      <c r="G1283" s="66">
        <f t="shared" si="13"/>
        <v>0</v>
      </c>
      <c r="H1283" s="66">
        <v>0.0</v>
      </c>
      <c r="I1283" s="66">
        <v>0.35</v>
      </c>
      <c r="J1283" s="66">
        <v>0.2081</v>
      </c>
      <c r="K1283" s="81">
        <f t="shared" si="2"/>
        <v>0.35</v>
      </c>
      <c r="L1283" s="81">
        <f t="shared" si="3"/>
        <v>0.2081</v>
      </c>
    </row>
    <row r="1284">
      <c r="A1284" s="82">
        <v>44706.0</v>
      </c>
      <c r="B1284" s="82">
        <v>44706.0</v>
      </c>
      <c r="C1284" s="66">
        <v>1478.0</v>
      </c>
      <c r="D1284" s="66" t="s">
        <v>203</v>
      </c>
      <c r="E1284" s="66">
        <v>0.0</v>
      </c>
      <c r="F1284" s="66" t="s">
        <v>205</v>
      </c>
      <c r="G1284" s="66">
        <f t="shared" si="13"/>
        <v>0</v>
      </c>
      <c r="H1284" s="66">
        <v>0.0</v>
      </c>
      <c r="I1284" s="66">
        <v>1.95</v>
      </c>
      <c r="J1284" s="66">
        <v>1.126</v>
      </c>
      <c r="K1284" s="81">
        <f t="shared" si="2"/>
        <v>1.95</v>
      </c>
      <c r="L1284" s="81">
        <f t="shared" si="3"/>
        <v>1.126</v>
      </c>
    </row>
    <row r="1285">
      <c r="A1285" s="82">
        <v>44706.0</v>
      </c>
      <c r="B1285" s="82">
        <v>44706.0</v>
      </c>
      <c r="C1285" s="66">
        <v>2085.0</v>
      </c>
      <c r="D1285" s="66" t="s">
        <v>203</v>
      </c>
      <c r="E1285" s="66">
        <v>1.0</v>
      </c>
      <c r="F1285" s="66" t="s">
        <v>204</v>
      </c>
      <c r="G1285" s="66">
        <f t="shared" si="13"/>
        <v>0</v>
      </c>
      <c r="H1285" s="66">
        <v>0.0</v>
      </c>
      <c r="I1285" s="66">
        <v>0.41</v>
      </c>
      <c r="J1285" s="66">
        <v>0.2349</v>
      </c>
      <c r="K1285" s="81">
        <f t="shared" si="2"/>
        <v>0.41</v>
      </c>
      <c r="L1285" s="81">
        <f t="shared" si="3"/>
        <v>0.2349</v>
      </c>
    </row>
    <row r="1286">
      <c r="A1286" s="82">
        <v>44706.0</v>
      </c>
      <c r="B1286" s="82">
        <v>44706.0</v>
      </c>
      <c r="C1286" s="66">
        <v>2028.0</v>
      </c>
      <c r="D1286" s="66" t="s">
        <v>203</v>
      </c>
      <c r="E1286" s="66">
        <v>0.0</v>
      </c>
      <c r="F1286" s="66" t="s">
        <v>204</v>
      </c>
      <c r="G1286" s="66">
        <f t="shared" si="13"/>
        <v>0</v>
      </c>
      <c r="H1286" s="66">
        <v>0.0</v>
      </c>
      <c r="I1286" s="66">
        <v>0.2</v>
      </c>
      <c r="J1286" s="66">
        <v>0.1117</v>
      </c>
      <c r="K1286" s="81">
        <f t="shared" si="2"/>
        <v>0.2</v>
      </c>
      <c r="L1286" s="81">
        <f t="shared" si="3"/>
        <v>0.1117</v>
      </c>
    </row>
    <row r="1287">
      <c r="A1287" s="82">
        <v>44706.0</v>
      </c>
      <c r="B1287" s="82">
        <v>44706.0</v>
      </c>
      <c r="C1287" s="66">
        <v>2006.0</v>
      </c>
      <c r="D1287" s="66" t="s">
        <v>203</v>
      </c>
      <c r="E1287" s="66">
        <v>1.0</v>
      </c>
      <c r="F1287" s="66" t="s">
        <v>204</v>
      </c>
      <c r="G1287" s="66">
        <f t="shared" si="13"/>
        <v>0</v>
      </c>
      <c r="H1287" s="66">
        <v>0.0</v>
      </c>
      <c r="I1287" s="66">
        <v>0.35</v>
      </c>
      <c r="J1287" s="66">
        <v>0.211</v>
      </c>
      <c r="K1287" s="81">
        <f t="shared" si="2"/>
        <v>0.35</v>
      </c>
      <c r="L1287" s="81">
        <f t="shared" si="3"/>
        <v>0.211</v>
      </c>
    </row>
    <row r="1288">
      <c r="A1288" s="82">
        <v>44706.0</v>
      </c>
      <c r="B1288" s="82">
        <v>44706.0</v>
      </c>
      <c r="C1288" s="66">
        <v>2012.0</v>
      </c>
      <c r="D1288" s="66" t="s">
        <v>203</v>
      </c>
      <c r="E1288" s="66">
        <v>0.0</v>
      </c>
      <c r="F1288" s="66" t="s">
        <v>205</v>
      </c>
      <c r="G1288" s="66">
        <f t="shared" si="13"/>
        <v>0</v>
      </c>
      <c r="H1288" s="66">
        <v>0.0</v>
      </c>
      <c r="I1288" s="66">
        <v>2.5</v>
      </c>
      <c r="J1288" s="66">
        <v>1.434</v>
      </c>
      <c r="K1288" s="81">
        <f t="shared" si="2"/>
        <v>2.5</v>
      </c>
      <c r="L1288" s="81">
        <f t="shared" si="3"/>
        <v>1.434</v>
      </c>
    </row>
    <row r="1289">
      <c r="A1289" s="82">
        <v>44706.0</v>
      </c>
      <c r="B1289" s="82">
        <v>44706.0</v>
      </c>
      <c r="C1289" s="66">
        <v>2024.0</v>
      </c>
      <c r="D1289" s="66" t="s">
        <v>203</v>
      </c>
      <c r="E1289" s="66">
        <v>0.0</v>
      </c>
      <c r="F1289" s="66" t="s">
        <v>205</v>
      </c>
      <c r="G1289" s="66">
        <f t="shared" si="13"/>
        <v>0</v>
      </c>
      <c r="H1289" s="66">
        <v>0.0</v>
      </c>
      <c r="I1289" s="66">
        <v>2.39</v>
      </c>
      <c r="J1289" s="66">
        <v>1.2887</v>
      </c>
      <c r="K1289" s="81">
        <f t="shared" si="2"/>
        <v>2.39</v>
      </c>
      <c r="L1289" s="81">
        <f t="shared" si="3"/>
        <v>1.2887</v>
      </c>
    </row>
    <row r="1290">
      <c r="A1290" s="82">
        <v>44706.0</v>
      </c>
      <c r="B1290" s="82">
        <v>44706.0</v>
      </c>
      <c r="C1290" s="66">
        <v>2008.0</v>
      </c>
      <c r="D1290" s="66" t="s">
        <v>203</v>
      </c>
      <c r="E1290" s="66">
        <v>0.0</v>
      </c>
      <c r="F1290" s="66" t="s">
        <v>204</v>
      </c>
      <c r="G1290" s="66">
        <f t="shared" si="13"/>
        <v>0</v>
      </c>
      <c r="H1290" s="66">
        <v>0.0</v>
      </c>
      <c r="I1290" s="66">
        <v>0.4</v>
      </c>
      <c r="J1290" s="66">
        <v>0.225</v>
      </c>
      <c r="K1290" s="81">
        <f t="shared" si="2"/>
        <v>0.4</v>
      </c>
      <c r="L1290" s="81">
        <f t="shared" si="3"/>
        <v>0.225</v>
      </c>
    </row>
    <row r="1291">
      <c r="A1291" s="82">
        <v>44706.0</v>
      </c>
      <c r="B1291" s="82">
        <v>44706.0</v>
      </c>
      <c r="C1291" s="66">
        <v>2030.0</v>
      </c>
      <c r="D1291" s="66" t="s">
        <v>203</v>
      </c>
      <c r="E1291" s="66">
        <v>0.0</v>
      </c>
      <c r="F1291" s="66" t="s">
        <v>204</v>
      </c>
      <c r="G1291" s="66">
        <f t="shared" si="13"/>
        <v>0</v>
      </c>
      <c r="H1291" s="66">
        <v>0.0</v>
      </c>
      <c r="I1291" s="66">
        <v>0.32</v>
      </c>
      <c r="J1291" s="66">
        <v>0.18</v>
      </c>
      <c r="K1291" s="81">
        <f t="shared" si="2"/>
        <v>0.32</v>
      </c>
      <c r="L1291" s="81">
        <f t="shared" si="3"/>
        <v>0.18</v>
      </c>
    </row>
    <row r="1292">
      <c r="A1292" s="82">
        <v>44706.0</v>
      </c>
      <c r="B1292" s="82">
        <v>44706.0</v>
      </c>
      <c r="C1292" s="66">
        <v>2089.0</v>
      </c>
      <c r="D1292" s="66" t="s">
        <v>203</v>
      </c>
      <c r="E1292" s="66">
        <v>1.0</v>
      </c>
      <c r="F1292" s="66" t="s">
        <v>204</v>
      </c>
      <c r="G1292" s="66">
        <f t="shared" si="13"/>
        <v>0</v>
      </c>
      <c r="H1292" s="66">
        <v>0.0</v>
      </c>
      <c r="I1292" s="66">
        <v>0.37</v>
      </c>
      <c r="J1292" s="66">
        <v>0.2166</v>
      </c>
      <c r="K1292" s="81">
        <f t="shared" si="2"/>
        <v>0.37</v>
      </c>
      <c r="L1292" s="81">
        <f t="shared" si="3"/>
        <v>0.2166</v>
      </c>
    </row>
    <row r="1293">
      <c r="A1293" s="82">
        <v>44706.0</v>
      </c>
      <c r="B1293" s="82">
        <v>44706.0</v>
      </c>
      <c r="C1293" s="66">
        <v>2007.0</v>
      </c>
      <c r="D1293" s="66" t="s">
        <v>203</v>
      </c>
      <c r="E1293" s="66">
        <v>1.0</v>
      </c>
      <c r="F1293" s="66" t="s">
        <v>204</v>
      </c>
      <c r="G1293" s="66">
        <f t="shared" si="13"/>
        <v>0</v>
      </c>
      <c r="H1293" s="66">
        <v>0.0</v>
      </c>
      <c r="I1293" s="66">
        <v>0.51</v>
      </c>
      <c r="J1293" s="66">
        <v>0.306</v>
      </c>
      <c r="K1293" s="81">
        <f t="shared" si="2"/>
        <v>0.51</v>
      </c>
      <c r="L1293" s="81">
        <f t="shared" si="3"/>
        <v>0.306</v>
      </c>
    </row>
    <row r="1294">
      <c r="A1294" s="82">
        <v>44706.0</v>
      </c>
      <c r="B1294" s="82">
        <v>44706.0</v>
      </c>
      <c r="C1294" s="66">
        <v>2024.0</v>
      </c>
      <c r="D1294" s="66" t="s">
        <v>203</v>
      </c>
      <c r="E1294" s="66">
        <v>0.0</v>
      </c>
      <c r="F1294" s="66" t="s">
        <v>204</v>
      </c>
      <c r="G1294" s="66">
        <f t="shared" si="13"/>
        <v>0</v>
      </c>
      <c r="H1294" s="66">
        <v>0.0</v>
      </c>
      <c r="I1294" s="66">
        <v>0.35</v>
      </c>
      <c r="J1294" s="66">
        <v>0.2053</v>
      </c>
      <c r="K1294" s="81">
        <f t="shared" si="2"/>
        <v>0.35</v>
      </c>
      <c r="L1294" s="81">
        <f t="shared" si="3"/>
        <v>0.2053</v>
      </c>
    </row>
    <row r="1295">
      <c r="A1295" s="82">
        <v>44706.0</v>
      </c>
      <c r="B1295" s="82">
        <v>44706.0</v>
      </c>
      <c r="C1295" s="66">
        <v>2092.0</v>
      </c>
      <c r="D1295" s="66" t="s">
        <v>203</v>
      </c>
      <c r="E1295" s="66">
        <v>1.0</v>
      </c>
      <c r="F1295" s="66" t="s">
        <v>204</v>
      </c>
      <c r="G1295" s="66">
        <f t="shared" si="13"/>
        <v>0</v>
      </c>
      <c r="H1295" s="66">
        <v>0.0</v>
      </c>
      <c r="I1295" s="66">
        <v>0.21</v>
      </c>
      <c r="J1295" s="66">
        <v>0.1073</v>
      </c>
      <c r="K1295" s="81">
        <f t="shared" si="2"/>
        <v>0.21</v>
      </c>
      <c r="L1295" s="81">
        <f t="shared" si="3"/>
        <v>0.1073</v>
      </c>
    </row>
    <row r="1296">
      <c r="A1296" s="82">
        <v>44706.0</v>
      </c>
      <c r="B1296" s="82">
        <v>44706.0</v>
      </c>
      <c r="C1296" s="66">
        <v>2029.0</v>
      </c>
      <c r="D1296" s="66" t="s">
        <v>203</v>
      </c>
      <c r="E1296" s="66">
        <v>1.0</v>
      </c>
      <c r="F1296" s="66" t="s">
        <v>205</v>
      </c>
      <c r="G1296" s="66">
        <f t="shared" si="13"/>
        <v>0</v>
      </c>
      <c r="H1296" s="66">
        <v>0.0</v>
      </c>
      <c r="I1296" s="66">
        <v>0.9</v>
      </c>
      <c r="J1296" s="66">
        <v>0.5913</v>
      </c>
      <c r="K1296" s="81">
        <f t="shared" si="2"/>
        <v>0.9</v>
      </c>
      <c r="L1296" s="81">
        <f t="shared" si="3"/>
        <v>0.5913</v>
      </c>
    </row>
    <row r="1297">
      <c r="A1297" s="82">
        <v>44706.0</v>
      </c>
      <c r="B1297" s="82">
        <v>44706.0</v>
      </c>
      <c r="C1297" s="66">
        <v>2093.0</v>
      </c>
      <c r="D1297" s="66" t="s">
        <v>203</v>
      </c>
      <c r="E1297" s="66">
        <v>0.0</v>
      </c>
      <c r="F1297" s="66" t="s">
        <v>204</v>
      </c>
      <c r="G1297" s="66">
        <f t="shared" si="13"/>
        <v>0</v>
      </c>
      <c r="H1297" s="66">
        <v>0.0</v>
      </c>
      <c r="I1297" s="66">
        <v>0.16</v>
      </c>
      <c r="J1297" s="66">
        <v>0.0846</v>
      </c>
      <c r="K1297" s="81">
        <f t="shared" si="2"/>
        <v>0.16</v>
      </c>
      <c r="L1297" s="81">
        <f t="shared" si="3"/>
        <v>0.0846</v>
      </c>
    </row>
    <row r="1298">
      <c r="A1298" s="82">
        <v>44706.0</v>
      </c>
      <c r="B1298" s="82">
        <v>44706.0</v>
      </c>
      <c r="C1298" s="66">
        <v>2087.0</v>
      </c>
      <c r="D1298" s="66" t="s">
        <v>203</v>
      </c>
      <c r="E1298" s="66">
        <v>0.0</v>
      </c>
      <c r="F1298" s="66" t="s">
        <v>204</v>
      </c>
      <c r="G1298" s="66">
        <f t="shared" si="13"/>
        <v>0</v>
      </c>
      <c r="H1298" s="66">
        <v>0.0</v>
      </c>
      <c r="I1298" s="66">
        <v>0.32</v>
      </c>
      <c r="J1298" s="66">
        <v>0.147</v>
      </c>
      <c r="K1298" s="81">
        <f t="shared" si="2"/>
        <v>0.32</v>
      </c>
      <c r="L1298" s="81">
        <f t="shared" si="3"/>
        <v>0.147</v>
      </c>
    </row>
    <row r="1299">
      <c r="A1299" s="82">
        <v>44706.0</v>
      </c>
      <c r="B1299" s="82">
        <v>44706.0</v>
      </c>
      <c r="C1299" s="66">
        <v>2091.0</v>
      </c>
      <c r="D1299" s="66" t="s">
        <v>203</v>
      </c>
      <c r="E1299" s="66">
        <v>0.0</v>
      </c>
      <c r="F1299" s="66" t="s">
        <v>204</v>
      </c>
      <c r="G1299" s="66">
        <f t="shared" si="13"/>
        <v>0</v>
      </c>
      <c r="H1299" s="66">
        <v>0.0</v>
      </c>
      <c r="I1299" s="66">
        <v>0.28</v>
      </c>
      <c r="J1299" s="66">
        <v>0.135</v>
      </c>
      <c r="K1299" s="81">
        <f t="shared" si="2"/>
        <v>0.28</v>
      </c>
      <c r="L1299" s="81">
        <f t="shared" si="3"/>
        <v>0.135</v>
      </c>
    </row>
    <row r="1300">
      <c r="A1300" s="82">
        <v>44706.0</v>
      </c>
      <c r="B1300" s="82">
        <v>44706.0</v>
      </c>
      <c r="C1300" s="66">
        <v>2005.0</v>
      </c>
      <c r="D1300" s="66" t="s">
        <v>203</v>
      </c>
      <c r="E1300" s="66">
        <v>0.0</v>
      </c>
      <c r="F1300" s="66" t="s">
        <v>204</v>
      </c>
      <c r="G1300" s="66">
        <f t="shared" si="13"/>
        <v>0</v>
      </c>
      <c r="H1300" s="66">
        <v>0.0</v>
      </c>
      <c r="I1300" s="66">
        <v>0.77</v>
      </c>
      <c r="J1300" s="66">
        <v>0.42</v>
      </c>
      <c r="K1300" s="81">
        <f t="shared" si="2"/>
        <v>0.77</v>
      </c>
      <c r="L1300" s="81">
        <f t="shared" si="3"/>
        <v>0.42</v>
      </c>
    </row>
    <row r="1301">
      <c r="A1301" s="82">
        <v>44706.0</v>
      </c>
      <c r="B1301" s="82">
        <v>44706.0</v>
      </c>
      <c r="C1301" s="66" t="s">
        <v>222</v>
      </c>
      <c r="D1301" s="66" t="s">
        <v>203</v>
      </c>
      <c r="E1301" s="66">
        <v>0.0</v>
      </c>
      <c r="F1301" s="66" t="s">
        <v>199</v>
      </c>
      <c r="G1301" s="66">
        <f t="shared" si="13"/>
        <v>0</v>
      </c>
      <c r="H1301" s="66">
        <v>0.0</v>
      </c>
      <c r="I1301" s="66">
        <v>1.05</v>
      </c>
      <c r="J1301" s="66">
        <v>0.61</v>
      </c>
      <c r="K1301" s="81">
        <f t="shared" si="2"/>
        <v>1.05</v>
      </c>
      <c r="L1301" s="81">
        <f t="shared" si="3"/>
        <v>0.61</v>
      </c>
    </row>
    <row r="1302">
      <c r="A1302" s="82">
        <v>44706.0</v>
      </c>
      <c r="B1302" s="82">
        <v>44706.0</v>
      </c>
      <c r="C1302" s="66">
        <v>2013.0</v>
      </c>
      <c r="D1302" s="66" t="s">
        <v>203</v>
      </c>
      <c r="E1302" s="66">
        <v>0.0</v>
      </c>
      <c r="F1302" s="66" t="s">
        <v>204</v>
      </c>
      <c r="G1302" s="66">
        <f t="shared" si="13"/>
        <v>0</v>
      </c>
      <c r="H1302" s="66">
        <v>0.0</v>
      </c>
      <c r="I1302" s="66">
        <v>0.47</v>
      </c>
      <c r="J1302" s="66">
        <v>0.255</v>
      </c>
      <c r="K1302" s="81">
        <f t="shared" si="2"/>
        <v>0.47</v>
      </c>
      <c r="L1302" s="81">
        <f t="shared" si="3"/>
        <v>0.255</v>
      </c>
    </row>
    <row r="1303">
      <c r="A1303" s="82">
        <v>44706.0</v>
      </c>
      <c r="B1303" s="82">
        <v>44706.0</v>
      </c>
      <c r="C1303" s="66">
        <v>2086.0</v>
      </c>
      <c r="D1303" s="66" t="s">
        <v>203</v>
      </c>
      <c r="E1303" s="66">
        <v>0.0</v>
      </c>
      <c r="F1303" s="66" t="s">
        <v>204</v>
      </c>
      <c r="G1303" s="66">
        <f t="shared" si="13"/>
        <v>0</v>
      </c>
      <c r="H1303" s="66">
        <v>0.0</v>
      </c>
      <c r="I1303" s="66">
        <v>0.44</v>
      </c>
      <c r="J1303" s="66">
        <v>0.2222</v>
      </c>
      <c r="K1303" s="81">
        <f t="shared" si="2"/>
        <v>0.44</v>
      </c>
      <c r="L1303" s="81">
        <f t="shared" si="3"/>
        <v>0.2222</v>
      </c>
    </row>
    <row r="1304">
      <c r="A1304" s="82">
        <v>44706.0</v>
      </c>
      <c r="B1304" s="82">
        <v>44706.0</v>
      </c>
      <c r="C1304" s="66">
        <v>2091.0</v>
      </c>
      <c r="D1304" s="66" t="s">
        <v>203</v>
      </c>
      <c r="E1304" s="66">
        <v>1.0</v>
      </c>
      <c r="F1304" s="66" t="s">
        <v>204</v>
      </c>
      <c r="G1304" s="66">
        <f t="shared" si="13"/>
        <v>0</v>
      </c>
      <c r="H1304" s="66">
        <v>0.0</v>
      </c>
      <c r="I1304" s="66">
        <v>0.4</v>
      </c>
      <c r="J1304" s="66">
        <v>0.23</v>
      </c>
      <c r="K1304" s="81">
        <f t="shared" si="2"/>
        <v>0.4</v>
      </c>
      <c r="L1304" s="81">
        <f t="shared" si="3"/>
        <v>0.23</v>
      </c>
    </row>
    <row r="1305">
      <c r="A1305" s="82">
        <v>44706.0</v>
      </c>
      <c r="B1305" s="82">
        <v>44706.0</v>
      </c>
      <c r="C1305" s="66">
        <v>2091.0</v>
      </c>
      <c r="D1305" s="66" t="s">
        <v>203</v>
      </c>
      <c r="E1305" s="66">
        <v>1.0</v>
      </c>
      <c r="F1305" s="66" t="s">
        <v>205</v>
      </c>
      <c r="G1305" s="66">
        <f t="shared" si="13"/>
        <v>0</v>
      </c>
      <c r="H1305" s="66">
        <v>0.0</v>
      </c>
      <c r="I1305" s="66">
        <v>1.32</v>
      </c>
      <c r="J1305" s="66">
        <v>0.812</v>
      </c>
      <c r="K1305" s="81">
        <f t="shared" si="2"/>
        <v>1.32</v>
      </c>
      <c r="L1305" s="81">
        <f t="shared" si="3"/>
        <v>0.812</v>
      </c>
    </row>
    <row r="1306">
      <c r="A1306" s="82">
        <v>44706.0</v>
      </c>
      <c r="B1306" s="82">
        <v>44706.0</v>
      </c>
      <c r="C1306" s="66">
        <v>2007.0</v>
      </c>
      <c r="D1306" s="66" t="s">
        <v>203</v>
      </c>
      <c r="E1306" s="66">
        <v>0.0</v>
      </c>
      <c r="F1306" s="66" t="s">
        <v>204</v>
      </c>
      <c r="G1306" s="66">
        <f t="shared" si="13"/>
        <v>0</v>
      </c>
      <c r="H1306" s="66">
        <v>0.0</v>
      </c>
      <c r="I1306" s="66">
        <v>0.34</v>
      </c>
      <c r="J1306" s="66">
        <v>0.194</v>
      </c>
      <c r="K1306" s="81">
        <f t="shared" si="2"/>
        <v>0.34</v>
      </c>
      <c r="L1306" s="81">
        <f t="shared" si="3"/>
        <v>0.194</v>
      </c>
    </row>
    <row r="1307">
      <c r="A1307" s="82">
        <v>44706.0</v>
      </c>
      <c r="B1307" s="82">
        <v>44706.0</v>
      </c>
      <c r="C1307" s="66">
        <v>2021.0</v>
      </c>
      <c r="D1307" s="66" t="s">
        <v>203</v>
      </c>
      <c r="E1307" s="66">
        <v>0.0</v>
      </c>
      <c r="F1307" s="66" t="s">
        <v>204</v>
      </c>
      <c r="G1307" s="66">
        <f t="shared" si="13"/>
        <v>0</v>
      </c>
      <c r="H1307" s="66">
        <v>0.0</v>
      </c>
      <c r="I1307" s="66">
        <v>0.2</v>
      </c>
      <c r="J1307" s="66">
        <v>0.11</v>
      </c>
      <c r="K1307" s="81">
        <f t="shared" si="2"/>
        <v>0.2</v>
      </c>
      <c r="L1307" s="81">
        <f t="shared" si="3"/>
        <v>0.11</v>
      </c>
    </row>
    <row r="1308">
      <c r="A1308" s="82">
        <v>44706.0</v>
      </c>
      <c r="B1308" s="82">
        <v>44706.0</v>
      </c>
      <c r="C1308" s="66">
        <v>2090.0</v>
      </c>
      <c r="D1308" s="66" t="s">
        <v>203</v>
      </c>
      <c r="E1308" s="66">
        <v>0.0</v>
      </c>
      <c r="F1308" s="66" t="s">
        <v>204</v>
      </c>
      <c r="G1308" s="66">
        <f t="shared" si="13"/>
        <v>0</v>
      </c>
      <c r="H1308" s="66">
        <v>0.0</v>
      </c>
      <c r="I1308" s="66">
        <v>0.43</v>
      </c>
      <c r="J1308" s="66">
        <v>0.2175</v>
      </c>
      <c r="K1308" s="81">
        <f t="shared" si="2"/>
        <v>0.43</v>
      </c>
      <c r="L1308" s="81">
        <f t="shared" si="3"/>
        <v>0.2175</v>
      </c>
    </row>
    <row r="1309">
      <c r="A1309" s="82">
        <v>44706.0</v>
      </c>
      <c r="B1309" s="82">
        <v>44706.0</v>
      </c>
      <c r="C1309" s="66">
        <v>2015.0</v>
      </c>
      <c r="D1309" s="66" t="s">
        <v>203</v>
      </c>
      <c r="E1309" s="66">
        <v>0.0</v>
      </c>
      <c r="F1309" s="66" t="s">
        <v>204</v>
      </c>
      <c r="G1309" s="66">
        <f t="shared" si="13"/>
        <v>0</v>
      </c>
      <c r="H1309" s="66">
        <v>0.0</v>
      </c>
      <c r="I1309" s="66">
        <v>0.44</v>
      </c>
      <c r="J1309" s="66">
        <v>0.1744</v>
      </c>
      <c r="K1309" s="81">
        <f t="shared" si="2"/>
        <v>0.44</v>
      </c>
      <c r="L1309" s="81">
        <f t="shared" si="3"/>
        <v>0.1744</v>
      </c>
    </row>
    <row r="1310">
      <c r="A1310" s="82">
        <v>44706.0</v>
      </c>
      <c r="B1310" s="82">
        <v>44706.0</v>
      </c>
      <c r="C1310" s="66">
        <v>2031.0</v>
      </c>
      <c r="D1310" s="66" t="s">
        <v>203</v>
      </c>
      <c r="E1310" s="66">
        <v>1.0</v>
      </c>
      <c r="F1310" s="66" t="s">
        <v>204</v>
      </c>
      <c r="G1310" s="66">
        <f t="shared" si="13"/>
        <v>0</v>
      </c>
      <c r="H1310" s="66">
        <v>0.0</v>
      </c>
      <c r="I1310" s="66">
        <v>0.45</v>
      </c>
      <c r="J1310" s="66">
        <v>0.2757</v>
      </c>
      <c r="K1310" s="81">
        <f t="shared" si="2"/>
        <v>0.45</v>
      </c>
      <c r="L1310" s="81">
        <f t="shared" si="3"/>
        <v>0.2757</v>
      </c>
    </row>
    <row r="1311">
      <c r="A1311" s="82">
        <v>44706.0</v>
      </c>
      <c r="B1311" s="82">
        <v>44706.0</v>
      </c>
      <c r="C1311" s="66">
        <v>2023.0</v>
      </c>
      <c r="D1311" s="66" t="s">
        <v>203</v>
      </c>
      <c r="E1311" s="66">
        <v>1.0</v>
      </c>
      <c r="F1311" s="66" t="s">
        <v>205</v>
      </c>
      <c r="G1311" s="66">
        <f t="shared" si="13"/>
        <v>0</v>
      </c>
      <c r="H1311" s="66">
        <v>0.0</v>
      </c>
      <c r="I1311" s="66">
        <v>3.01</v>
      </c>
      <c r="J1311" s="66">
        <v>1.921</v>
      </c>
      <c r="K1311" s="81">
        <f t="shared" si="2"/>
        <v>3.01</v>
      </c>
      <c r="L1311" s="81">
        <f t="shared" si="3"/>
        <v>1.921</v>
      </c>
    </row>
    <row r="1312">
      <c r="A1312" s="82">
        <v>44706.0</v>
      </c>
      <c r="B1312" s="82">
        <v>44706.0</v>
      </c>
      <c r="C1312" s="66">
        <v>2093.0</v>
      </c>
      <c r="D1312" s="66" t="s">
        <v>203</v>
      </c>
      <c r="E1312" s="66">
        <v>1.0</v>
      </c>
      <c r="F1312" s="66" t="s">
        <v>204</v>
      </c>
      <c r="G1312" s="66">
        <f t="shared" si="13"/>
        <v>0</v>
      </c>
      <c r="H1312" s="66">
        <v>0.0</v>
      </c>
      <c r="I1312" s="66">
        <v>0.21</v>
      </c>
      <c r="J1312" s="66">
        <v>0.1181</v>
      </c>
      <c r="K1312" s="81">
        <f t="shared" si="2"/>
        <v>0.21</v>
      </c>
      <c r="L1312" s="81">
        <f t="shared" si="3"/>
        <v>0.1181</v>
      </c>
    </row>
    <row r="1313">
      <c r="A1313" s="82">
        <v>44706.0</v>
      </c>
      <c r="B1313" s="82">
        <v>44706.0</v>
      </c>
      <c r="C1313" s="66">
        <v>2026.0</v>
      </c>
      <c r="D1313" s="66" t="s">
        <v>203</v>
      </c>
      <c r="E1313" s="66">
        <v>0.0</v>
      </c>
      <c r="F1313" s="66" t="s">
        <v>204</v>
      </c>
      <c r="G1313" s="66">
        <f t="shared" si="13"/>
        <v>0</v>
      </c>
      <c r="H1313" s="66">
        <v>0.0</v>
      </c>
      <c r="I1313" s="66">
        <v>0.42</v>
      </c>
      <c r="J1313" s="66">
        <v>0.246</v>
      </c>
      <c r="K1313" s="81">
        <f t="shared" si="2"/>
        <v>0.42</v>
      </c>
      <c r="L1313" s="81">
        <f t="shared" si="3"/>
        <v>0.246</v>
      </c>
    </row>
    <row r="1314">
      <c r="A1314" s="82">
        <v>44706.0</v>
      </c>
      <c r="B1314" s="82">
        <v>44706.0</v>
      </c>
      <c r="C1314" s="66" t="s">
        <v>222</v>
      </c>
      <c r="D1314" s="66" t="s">
        <v>203</v>
      </c>
      <c r="E1314" s="66">
        <v>0.0</v>
      </c>
      <c r="F1314" s="66" t="s">
        <v>199</v>
      </c>
      <c r="G1314" s="66">
        <f t="shared" si="13"/>
        <v>0</v>
      </c>
      <c r="H1314" s="66">
        <v>0.0</v>
      </c>
      <c r="I1314" s="66">
        <v>1.67</v>
      </c>
      <c r="J1314" s="66">
        <v>0.962</v>
      </c>
      <c r="K1314" s="81">
        <f t="shared" si="2"/>
        <v>1.67</v>
      </c>
      <c r="L1314" s="81">
        <f t="shared" si="3"/>
        <v>0.962</v>
      </c>
    </row>
    <row r="1315">
      <c r="A1315" s="82">
        <v>44706.0</v>
      </c>
      <c r="B1315" s="82">
        <v>44706.0</v>
      </c>
      <c r="C1315" s="66">
        <v>2085.0</v>
      </c>
      <c r="D1315" s="66" t="s">
        <v>203</v>
      </c>
      <c r="E1315" s="66">
        <v>0.0</v>
      </c>
      <c r="F1315" s="66" t="s">
        <v>205</v>
      </c>
      <c r="G1315" s="66">
        <f t="shared" si="13"/>
        <v>0</v>
      </c>
      <c r="H1315" s="66">
        <v>0.0</v>
      </c>
      <c r="I1315" s="66">
        <v>2.14</v>
      </c>
      <c r="J1315" s="66">
        <v>1.121</v>
      </c>
      <c r="K1315" s="81">
        <f t="shared" si="2"/>
        <v>2.14</v>
      </c>
      <c r="L1315" s="81">
        <f t="shared" si="3"/>
        <v>1.121</v>
      </c>
    </row>
    <row r="1316">
      <c r="A1316" s="82">
        <v>44706.0</v>
      </c>
      <c r="B1316" s="82">
        <v>44706.0</v>
      </c>
      <c r="C1316" s="66">
        <v>2007.0</v>
      </c>
      <c r="D1316" s="66" t="s">
        <v>203</v>
      </c>
      <c r="E1316" s="66">
        <v>0.0</v>
      </c>
      <c r="F1316" s="66" t="s">
        <v>205</v>
      </c>
      <c r="G1316" s="66">
        <f t="shared" si="13"/>
        <v>0</v>
      </c>
      <c r="H1316" s="66">
        <v>0.0</v>
      </c>
      <c r="I1316" s="66">
        <v>2.23</v>
      </c>
      <c r="J1316" s="66">
        <v>1.187</v>
      </c>
      <c r="K1316" s="81">
        <f t="shared" si="2"/>
        <v>2.23</v>
      </c>
      <c r="L1316" s="81">
        <f t="shared" si="3"/>
        <v>1.187</v>
      </c>
    </row>
    <row r="1317">
      <c r="A1317" s="82">
        <v>44706.0</v>
      </c>
      <c r="B1317" s="82">
        <v>44706.0</v>
      </c>
      <c r="C1317" s="66">
        <v>2026.0</v>
      </c>
      <c r="D1317" s="66" t="s">
        <v>203</v>
      </c>
      <c r="E1317" s="66">
        <v>1.0</v>
      </c>
      <c r="F1317" s="66" t="s">
        <v>204</v>
      </c>
      <c r="G1317" s="66">
        <f t="shared" si="13"/>
        <v>0</v>
      </c>
      <c r="H1317" s="66">
        <v>0.0</v>
      </c>
      <c r="I1317" s="66">
        <v>0.25</v>
      </c>
      <c r="J1317" s="66">
        <v>0.1522</v>
      </c>
      <c r="K1317" s="81">
        <f t="shared" si="2"/>
        <v>0.25</v>
      </c>
      <c r="L1317" s="81">
        <f t="shared" si="3"/>
        <v>0.1522</v>
      </c>
    </row>
    <row r="1318">
      <c r="A1318" s="82">
        <v>44706.0</v>
      </c>
      <c r="B1318" s="82">
        <v>44706.0</v>
      </c>
      <c r="C1318" s="66">
        <v>2013.0</v>
      </c>
      <c r="D1318" s="66" t="s">
        <v>203</v>
      </c>
      <c r="E1318" s="66">
        <v>1.0</v>
      </c>
      <c r="F1318" s="66" t="s">
        <v>204</v>
      </c>
      <c r="G1318" s="66">
        <f t="shared" si="13"/>
        <v>0</v>
      </c>
      <c r="H1318" s="66">
        <v>0.0</v>
      </c>
      <c r="I1318" s="66">
        <v>0.69</v>
      </c>
      <c r="J1318" s="66">
        <v>0.397</v>
      </c>
      <c r="K1318" s="81">
        <f t="shared" si="2"/>
        <v>0.69</v>
      </c>
      <c r="L1318" s="81">
        <f t="shared" si="3"/>
        <v>0.397</v>
      </c>
    </row>
    <row r="1319">
      <c r="A1319" s="82">
        <v>44706.0</v>
      </c>
      <c r="B1319" s="82">
        <v>44706.0</v>
      </c>
      <c r="C1319" s="66">
        <v>2022.0</v>
      </c>
      <c r="D1319" s="66" t="s">
        <v>203</v>
      </c>
      <c r="E1319" s="66">
        <v>1.0</v>
      </c>
      <c r="F1319" s="66" t="s">
        <v>204</v>
      </c>
      <c r="G1319" s="66">
        <f t="shared" si="13"/>
        <v>0</v>
      </c>
      <c r="H1319" s="66">
        <v>0.0</v>
      </c>
      <c r="I1319" s="66">
        <v>0.37</v>
      </c>
      <c r="J1319" s="66">
        <v>0.224</v>
      </c>
      <c r="K1319" s="81">
        <f t="shared" si="2"/>
        <v>0.37</v>
      </c>
      <c r="L1319" s="81">
        <f t="shared" si="3"/>
        <v>0.224</v>
      </c>
    </row>
    <row r="1320">
      <c r="A1320" s="82">
        <v>44706.0</v>
      </c>
      <c r="B1320" s="82">
        <v>44706.0</v>
      </c>
      <c r="C1320" s="66">
        <v>2015.0</v>
      </c>
      <c r="D1320" s="66" t="s">
        <v>203</v>
      </c>
      <c r="E1320" s="66">
        <v>0.0</v>
      </c>
      <c r="F1320" s="66" t="s">
        <v>205</v>
      </c>
      <c r="G1320" s="66">
        <f t="shared" si="13"/>
        <v>0</v>
      </c>
      <c r="H1320" s="66">
        <v>0.0</v>
      </c>
      <c r="I1320" s="66">
        <v>3.0</v>
      </c>
      <c r="J1320" s="66">
        <v>1.65</v>
      </c>
      <c r="K1320" s="81">
        <f t="shared" si="2"/>
        <v>3</v>
      </c>
      <c r="L1320" s="81">
        <f t="shared" si="3"/>
        <v>1.65</v>
      </c>
    </row>
    <row r="1321">
      <c r="A1321" s="82">
        <v>44706.0</v>
      </c>
      <c r="B1321" s="82">
        <v>44706.0</v>
      </c>
      <c r="C1321" s="66">
        <v>2023.0</v>
      </c>
      <c r="D1321" s="66" t="s">
        <v>203</v>
      </c>
      <c r="E1321" s="66">
        <v>0.0</v>
      </c>
      <c r="F1321" s="66" t="s">
        <v>204</v>
      </c>
      <c r="G1321" s="66">
        <f t="shared" si="13"/>
        <v>0</v>
      </c>
      <c r="H1321" s="66">
        <v>0.0</v>
      </c>
      <c r="I1321" s="66">
        <v>0.18</v>
      </c>
      <c r="J1321" s="66">
        <v>0.102</v>
      </c>
      <c r="K1321" s="81">
        <f t="shared" si="2"/>
        <v>0.18</v>
      </c>
      <c r="L1321" s="81">
        <f t="shared" si="3"/>
        <v>0.102</v>
      </c>
    </row>
    <row r="1322">
      <c r="A1322" s="82">
        <v>44706.0</v>
      </c>
      <c r="B1322" s="82">
        <v>44706.0</v>
      </c>
      <c r="C1322" s="66">
        <v>2025.0</v>
      </c>
      <c r="D1322" s="66" t="s">
        <v>203</v>
      </c>
      <c r="E1322" s="66">
        <v>0.0</v>
      </c>
      <c r="F1322" s="66" t="s">
        <v>205</v>
      </c>
      <c r="G1322" s="66">
        <f t="shared" si="13"/>
        <v>0</v>
      </c>
      <c r="H1322" s="66">
        <v>0.0</v>
      </c>
      <c r="I1322" s="66">
        <v>2.65</v>
      </c>
      <c r="J1322" s="66">
        <v>1.478</v>
      </c>
      <c r="K1322" s="81">
        <f t="shared" si="2"/>
        <v>2.65</v>
      </c>
      <c r="L1322" s="81">
        <f t="shared" si="3"/>
        <v>1.478</v>
      </c>
    </row>
    <row r="1323">
      <c r="A1323" s="82">
        <v>44706.0</v>
      </c>
      <c r="B1323" s="82">
        <v>44706.0</v>
      </c>
      <c r="C1323" s="66">
        <v>2020.0</v>
      </c>
      <c r="D1323" s="66" t="s">
        <v>203</v>
      </c>
      <c r="E1323" s="66">
        <v>0.0</v>
      </c>
      <c r="F1323" s="66" t="s">
        <v>205</v>
      </c>
      <c r="G1323" s="66">
        <f t="shared" si="13"/>
        <v>0</v>
      </c>
      <c r="H1323" s="66">
        <v>0.0</v>
      </c>
      <c r="I1323" s="66">
        <v>4.05</v>
      </c>
      <c r="J1323" s="66">
        <v>2.243</v>
      </c>
      <c r="K1323" s="81">
        <f t="shared" si="2"/>
        <v>4.05</v>
      </c>
      <c r="L1323" s="81">
        <f t="shared" si="3"/>
        <v>2.243</v>
      </c>
    </row>
    <row r="1324">
      <c r="A1324" s="82">
        <v>44706.0</v>
      </c>
      <c r="B1324" s="82">
        <v>44706.0</v>
      </c>
      <c r="C1324" s="66">
        <v>2089.0</v>
      </c>
      <c r="D1324" s="66" t="s">
        <v>203</v>
      </c>
      <c r="E1324" s="66">
        <v>1.0</v>
      </c>
      <c r="F1324" s="66" t="s">
        <v>205</v>
      </c>
      <c r="G1324" s="66">
        <f t="shared" si="13"/>
        <v>0</v>
      </c>
      <c r="H1324" s="66">
        <v>0.0</v>
      </c>
      <c r="I1324" s="66">
        <v>2.39</v>
      </c>
      <c r="J1324" s="66">
        <v>1.435</v>
      </c>
      <c r="K1324" s="81">
        <f t="shared" si="2"/>
        <v>2.39</v>
      </c>
      <c r="L1324" s="81">
        <f t="shared" si="3"/>
        <v>1.435</v>
      </c>
    </row>
    <row r="1325">
      <c r="A1325" s="82">
        <v>44706.0</v>
      </c>
      <c r="B1325" s="82">
        <v>44706.0</v>
      </c>
      <c r="C1325" s="66">
        <v>2030.0</v>
      </c>
      <c r="D1325" s="66" t="s">
        <v>203</v>
      </c>
      <c r="E1325" s="66">
        <v>1.0</v>
      </c>
      <c r="F1325" s="66" t="s">
        <v>205</v>
      </c>
      <c r="G1325" s="66">
        <f t="shared" si="13"/>
        <v>0</v>
      </c>
      <c r="H1325" s="66">
        <v>0.0</v>
      </c>
      <c r="I1325" s="66">
        <v>1.9</v>
      </c>
      <c r="J1325" s="66">
        <v>1.168</v>
      </c>
      <c r="K1325" s="81">
        <f t="shared" si="2"/>
        <v>1.9</v>
      </c>
      <c r="L1325" s="81">
        <f t="shared" si="3"/>
        <v>1.168</v>
      </c>
    </row>
    <row r="1326">
      <c r="A1326" s="82">
        <v>44706.0</v>
      </c>
      <c r="B1326" s="82">
        <v>44706.0</v>
      </c>
      <c r="C1326" s="66">
        <v>2008.0</v>
      </c>
      <c r="D1326" s="66" t="s">
        <v>203</v>
      </c>
      <c r="E1326" s="66">
        <v>0.0</v>
      </c>
      <c r="F1326" s="66" t="s">
        <v>205</v>
      </c>
      <c r="G1326" s="66">
        <f t="shared" si="13"/>
        <v>0</v>
      </c>
      <c r="H1326" s="66">
        <v>0.0</v>
      </c>
      <c r="I1326" s="66">
        <v>2.62</v>
      </c>
      <c r="J1326" s="66">
        <v>1.4543</v>
      </c>
      <c r="K1326" s="81">
        <f t="shared" si="2"/>
        <v>2.62</v>
      </c>
      <c r="L1326" s="81">
        <f t="shared" si="3"/>
        <v>1.4543</v>
      </c>
    </row>
    <row r="1327">
      <c r="A1327" s="82">
        <v>44706.0</v>
      </c>
      <c r="B1327" s="82">
        <v>44706.0</v>
      </c>
      <c r="C1327" s="66">
        <v>2024.0</v>
      </c>
      <c r="D1327" s="66" t="s">
        <v>203</v>
      </c>
      <c r="E1327" s="66">
        <v>1.0</v>
      </c>
      <c r="F1327" s="66" t="s">
        <v>204</v>
      </c>
      <c r="G1327" s="66">
        <f t="shared" si="13"/>
        <v>0</v>
      </c>
      <c r="H1327" s="66">
        <v>0.0</v>
      </c>
      <c r="I1327" s="66">
        <v>0.54</v>
      </c>
      <c r="J1327" s="66">
        <v>0.325</v>
      </c>
      <c r="K1327" s="81">
        <f t="shared" si="2"/>
        <v>0.54</v>
      </c>
      <c r="L1327" s="81">
        <f t="shared" si="3"/>
        <v>0.325</v>
      </c>
    </row>
    <row r="1328">
      <c r="A1328" s="82">
        <v>44706.0</v>
      </c>
      <c r="B1328" s="82">
        <v>44706.0</v>
      </c>
      <c r="C1328" s="66">
        <v>2089.0</v>
      </c>
      <c r="D1328" s="66" t="s">
        <v>203</v>
      </c>
      <c r="E1328" s="66">
        <v>0.0</v>
      </c>
      <c r="F1328" s="66" t="s">
        <v>205</v>
      </c>
      <c r="G1328" s="66">
        <f t="shared" si="13"/>
        <v>0</v>
      </c>
      <c r="H1328" s="66">
        <v>0.0</v>
      </c>
      <c r="I1328" s="66">
        <v>2.31</v>
      </c>
      <c r="J1328" s="66">
        <v>1.294</v>
      </c>
      <c r="K1328" s="81">
        <f t="shared" si="2"/>
        <v>2.31</v>
      </c>
      <c r="L1328" s="81">
        <f t="shared" si="3"/>
        <v>1.294</v>
      </c>
    </row>
    <row r="1329">
      <c r="A1329" s="82">
        <v>44706.0</v>
      </c>
      <c r="B1329" s="82">
        <v>44706.0</v>
      </c>
      <c r="C1329" s="66">
        <v>2026.0</v>
      </c>
      <c r="D1329" s="66" t="s">
        <v>198</v>
      </c>
      <c r="E1329" s="66">
        <v>0.0</v>
      </c>
      <c r="F1329" s="66" t="s">
        <v>204</v>
      </c>
      <c r="G1329" s="66">
        <f t="shared" si="13"/>
        <v>0</v>
      </c>
      <c r="H1329" s="66">
        <v>0.0</v>
      </c>
      <c r="I1329" s="66">
        <v>0.1724</v>
      </c>
      <c r="J1329" s="66">
        <v>0.1075</v>
      </c>
      <c r="K1329" s="81">
        <f t="shared" si="2"/>
        <v>0.1724</v>
      </c>
      <c r="L1329" s="81">
        <f t="shared" si="3"/>
        <v>0.1075</v>
      </c>
    </row>
    <row r="1330">
      <c r="A1330" s="82">
        <v>44706.0</v>
      </c>
      <c r="B1330" s="82">
        <v>44706.0</v>
      </c>
      <c r="C1330" s="66">
        <v>2026.0</v>
      </c>
      <c r="D1330" s="66" t="s">
        <v>198</v>
      </c>
      <c r="E1330" s="66">
        <v>0.0</v>
      </c>
      <c r="F1330" s="66" t="s">
        <v>205</v>
      </c>
      <c r="G1330" s="66">
        <f t="shared" si="13"/>
        <v>0</v>
      </c>
      <c r="H1330" s="66">
        <v>0.0</v>
      </c>
      <c r="I1330" s="66">
        <v>1.3371</v>
      </c>
      <c r="J1330" s="66">
        <v>0.7742</v>
      </c>
      <c r="K1330" s="81">
        <f t="shared" si="2"/>
        <v>1.3371</v>
      </c>
      <c r="L1330" s="81">
        <f t="shared" si="3"/>
        <v>0.7742</v>
      </c>
    </row>
    <row r="1331">
      <c r="A1331" s="82">
        <v>44706.0</v>
      </c>
      <c r="B1331" s="82">
        <v>44706.0</v>
      </c>
      <c r="C1331" s="66">
        <v>2026.0</v>
      </c>
      <c r="D1331" s="66" t="s">
        <v>198</v>
      </c>
      <c r="E1331" s="66">
        <v>1.0</v>
      </c>
      <c r="F1331" s="66" t="s">
        <v>204</v>
      </c>
      <c r="G1331" s="66">
        <f t="shared" si="13"/>
        <v>0</v>
      </c>
      <c r="H1331" s="66">
        <v>0.0</v>
      </c>
      <c r="I1331" s="66">
        <v>0.2254</v>
      </c>
      <c r="J1331" s="66">
        <v>0.1416</v>
      </c>
      <c r="K1331" s="81">
        <f t="shared" si="2"/>
        <v>0.2254</v>
      </c>
      <c r="L1331" s="81">
        <f t="shared" si="3"/>
        <v>0.1416</v>
      </c>
    </row>
    <row r="1332">
      <c r="A1332" s="82">
        <v>44706.0</v>
      </c>
      <c r="B1332" s="82">
        <v>44706.0</v>
      </c>
      <c r="C1332" s="66">
        <v>2023.0</v>
      </c>
      <c r="D1332" s="66" t="s">
        <v>198</v>
      </c>
      <c r="E1332" s="66">
        <v>0.0</v>
      </c>
      <c r="F1332" s="66" t="s">
        <v>205</v>
      </c>
      <c r="G1332" s="66">
        <f t="shared" si="13"/>
        <v>0</v>
      </c>
      <c r="H1332" s="66">
        <v>0.0</v>
      </c>
      <c r="I1332" s="66">
        <v>2.6665</v>
      </c>
      <c r="J1332" s="66">
        <v>1.5799</v>
      </c>
      <c r="K1332" s="81">
        <f t="shared" si="2"/>
        <v>2.6665</v>
      </c>
      <c r="L1332" s="81">
        <f t="shared" si="3"/>
        <v>1.5799</v>
      </c>
    </row>
    <row r="1333">
      <c r="A1333" s="82">
        <v>44706.0</v>
      </c>
      <c r="B1333" s="82">
        <v>44706.0</v>
      </c>
      <c r="C1333" s="66">
        <v>2023.0</v>
      </c>
      <c r="D1333" s="66" t="s">
        <v>198</v>
      </c>
      <c r="E1333" s="66">
        <v>0.0</v>
      </c>
      <c r="F1333" s="66" t="s">
        <v>204</v>
      </c>
      <c r="G1333" s="66">
        <f t="shared" si="13"/>
        <v>0</v>
      </c>
      <c r="H1333" s="66">
        <v>0.0</v>
      </c>
      <c r="I1333" s="66">
        <v>1.1317</v>
      </c>
      <c r="J1333" s="66">
        <v>0.0762</v>
      </c>
      <c r="K1333" s="81">
        <f t="shared" si="2"/>
        <v>1.1317</v>
      </c>
      <c r="L1333" s="81">
        <f t="shared" si="3"/>
        <v>0.0762</v>
      </c>
    </row>
    <row r="1334">
      <c r="A1334" s="82">
        <v>44706.0</v>
      </c>
      <c r="B1334" s="82">
        <v>44706.0</v>
      </c>
      <c r="C1334" s="66">
        <v>2023.0</v>
      </c>
      <c r="D1334" s="66" t="s">
        <v>198</v>
      </c>
      <c r="E1334" s="66">
        <v>1.0</v>
      </c>
      <c r="F1334" s="66" t="s">
        <v>204</v>
      </c>
      <c r="G1334" s="66">
        <f t="shared" si="13"/>
        <v>0</v>
      </c>
      <c r="H1334" s="66">
        <v>0.0</v>
      </c>
      <c r="I1334" s="66">
        <v>0.0678</v>
      </c>
      <c r="J1334" s="66">
        <v>0.042</v>
      </c>
      <c r="K1334" s="81">
        <f t="shared" si="2"/>
        <v>0.0678</v>
      </c>
      <c r="L1334" s="81">
        <f t="shared" si="3"/>
        <v>0.042</v>
      </c>
    </row>
    <row r="1335">
      <c r="A1335" s="82">
        <v>44712.0</v>
      </c>
      <c r="B1335" s="82">
        <v>44712.0</v>
      </c>
      <c r="C1335" s="66" t="s">
        <v>213</v>
      </c>
      <c r="D1335" s="66" t="s">
        <v>198</v>
      </c>
      <c r="E1335" s="66">
        <v>0.0</v>
      </c>
      <c r="F1335" s="66" t="s">
        <v>204</v>
      </c>
      <c r="G1335" s="66">
        <f t="shared" si="13"/>
        <v>0</v>
      </c>
      <c r="H1335" s="66">
        <v>26.122</v>
      </c>
      <c r="I1335" s="66">
        <v>27.2815</v>
      </c>
      <c r="J1335" s="66">
        <v>26.4095</v>
      </c>
      <c r="K1335" s="81">
        <f t="shared" si="2"/>
        <v>1.1595</v>
      </c>
      <c r="L1335" s="81">
        <f t="shared" si="3"/>
        <v>0.2875</v>
      </c>
      <c r="M1335" s="66">
        <v>1.0</v>
      </c>
    </row>
    <row r="1336">
      <c r="A1336" s="82">
        <v>44712.0</v>
      </c>
      <c r="B1336" s="82">
        <v>44712.0</v>
      </c>
      <c r="C1336" s="66" t="s">
        <v>213</v>
      </c>
      <c r="D1336" s="66" t="s">
        <v>198</v>
      </c>
      <c r="E1336" s="66">
        <v>0.0</v>
      </c>
      <c r="F1336" s="66" t="s">
        <v>204</v>
      </c>
      <c r="G1336" s="66">
        <f t="shared" si="13"/>
        <v>0</v>
      </c>
      <c r="H1336" s="66">
        <v>26.0886</v>
      </c>
      <c r="I1336" s="66">
        <v>27.6613</v>
      </c>
      <c r="J1336" s="66">
        <v>26.4584</v>
      </c>
      <c r="K1336" s="81">
        <f t="shared" si="2"/>
        <v>1.5727</v>
      </c>
      <c r="L1336" s="81">
        <f t="shared" si="3"/>
        <v>0.3698</v>
      </c>
      <c r="M1336" s="66">
        <v>5.0</v>
      </c>
    </row>
    <row r="1337">
      <c r="A1337" s="82">
        <v>44712.0</v>
      </c>
      <c r="B1337" s="82">
        <v>44712.0</v>
      </c>
      <c r="C1337" s="66" t="s">
        <v>212</v>
      </c>
      <c r="D1337" s="66" t="s">
        <v>198</v>
      </c>
      <c r="E1337" s="66">
        <v>0.0</v>
      </c>
      <c r="F1337" s="66" t="s">
        <v>204</v>
      </c>
      <c r="G1337" s="66">
        <f t="shared" si="13"/>
        <v>0</v>
      </c>
      <c r="H1337" s="66">
        <v>25.834</v>
      </c>
      <c r="I1337" s="66">
        <v>26.0883</v>
      </c>
      <c r="J1337" s="66">
        <v>26.0705</v>
      </c>
      <c r="K1337" s="81">
        <f t="shared" si="2"/>
        <v>0.2543</v>
      </c>
      <c r="L1337" s="81">
        <f t="shared" si="3"/>
        <v>0.2365</v>
      </c>
      <c r="M1337" s="66">
        <v>1.0</v>
      </c>
    </row>
    <row r="1338">
      <c r="A1338" s="82">
        <v>44712.0</v>
      </c>
      <c r="B1338" s="82">
        <v>44712.0</v>
      </c>
      <c r="C1338" s="66" t="s">
        <v>95</v>
      </c>
      <c r="D1338" s="66" t="s">
        <v>198</v>
      </c>
      <c r="E1338" s="66">
        <v>0.0</v>
      </c>
      <c r="F1338" s="66" t="s">
        <v>204</v>
      </c>
      <c r="G1338" s="66">
        <f t="shared" si="13"/>
        <v>0</v>
      </c>
      <c r="H1338" s="66">
        <v>26.2447</v>
      </c>
      <c r="I1338" s="66">
        <v>26.4164</v>
      </c>
      <c r="J1338" s="66">
        <v>26.5132</v>
      </c>
      <c r="K1338" s="81">
        <f t="shared" si="2"/>
        <v>0.1717</v>
      </c>
      <c r="L1338" s="81">
        <f t="shared" si="3"/>
        <v>0.2685</v>
      </c>
      <c r="M1338" s="66">
        <v>3.0</v>
      </c>
    </row>
    <row r="1339">
      <c r="A1339" s="82">
        <v>44712.0</v>
      </c>
      <c r="B1339" s="82">
        <v>44712.0</v>
      </c>
      <c r="C1339" s="66" t="s">
        <v>95</v>
      </c>
      <c r="D1339" s="66" t="s">
        <v>198</v>
      </c>
      <c r="E1339" s="66">
        <v>0.0</v>
      </c>
      <c r="F1339" s="66" t="s">
        <v>205</v>
      </c>
      <c r="G1339" s="66">
        <f t="shared" si="13"/>
        <v>0</v>
      </c>
      <c r="H1339" s="66">
        <v>67.1784</v>
      </c>
      <c r="I1339" s="66">
        <v>69.6174</v>
      </c>
      <c r="J1339" s="66">
        <v>67.8226</v>
      </c>
      <c r="K1339" s="81">
        <f t="shared" si="2"/>
        <v>2.439</v>
      </c>
      <c r="L1339" s="81">
        <f t="shared" si="3"/>
        <v>0.6442</v>
      </c>
      <c r="M1339" s="66">
        <v>5.0</v>
      </c>
    </row>
    <row r="1340">
      <c r="A1340" s="82">
        <v>44712.0</v>
      </c>
      <c r="B1340" s="82">
        <v>44712.0</v>
      </c>
      <c r="C1340" s="66" t="s">
        <v>213</v>
      </c>
      <c r="D1340" s="66" t="s">
        <v>198</v>
      </c>
      <c r="E1340" s="66">
        <v>0.0</v>
      </c>
      <c r="F1340" s="66" t="s">
        <v>205</v>
      </c>
      <c r="G1340" s="66">
        <f t="shared" si="13"/>
        <v>0</v>
      </c>
      <c r="H1340" s="66">
        <v>68.4082</v>
      </c>
      <c r="I1340" s="66">
        <v>76.5424</v>
      </c>
      <c r="J1340" s="66">
        <v>70.34</v>
      </c>
      <c r="K1340" s="81">
        <f t="shared" si="2"/>
        <v>8.1342</v>
      </c>
      <c r="L1340" s="81">
        <f t="shared" si="3"/>
        <v>1.9318</v>
      </c>
      <c r="M1340" s="66">
        <v>4.0</v>
      </c>
    </row>
    <row r="1341">
      <c r="A1341" s="82">
        <v>44712.0</v>
      </c>
      <c r="B1341" s="82">
        <v>44712.0</v>
      </c>
      <c r="C1341" s="66" t="s">
        <v>213</v>
      </c>
      <c r="D1341" s="66" t="s">
        <v>198</v>
      </c>
      <c r="E1341" s="66">
        <v>0.0</v>
      </c>
      <c r="F1341" s="66" t="s">
        <v>205</v>
      </c>
      <c r="G1341" s="66">
        <f t="shared" si="13"/>
        <v>0</v>
      </c>
      <c r="H1341" s="66">
        <v>66.9909</v>
      </c>
      <c r="I1341" s="66">
        <v>72.1889</v>
      </c>
      <c r="J1341" s="66">
        <v>68.2815</v>
      </c>
      <c r="K1341" s="81">
        <f t="shared" si="2"/>
        <v>5.198</v>
      </c>
      <c r="L1341" s="81">
        <f t="shared" si="3"/>
        <v>1.2906</v>
      </c>
      <c r="M1341" s="66">
        <v>5.0</v>
      </c>
    </row>
    <row r="1342">
      <c r="A1342" s="82">
        <v>44712.0</v>
      </c>
      <c r="B1342" s="82">
        <v>44712.0</v>
      </c>
      <c r="C1342" s="66" t="s">
        <v>213</v>
      </c>
      <c r="D1342" s="66" t="s">
        <v>198</v>
      </c>
      <c r="E1342" s="66">
        <v>0.0</v>
      </c>
      <c r="F1342" s="66" t="s">
        <v>205</v>
      </c>
      <c r="G1342" s="66">
        <f t="shared" si="13"/>
        <v>0</v>
      </c>
      <c r="H1342" s="66">
        <v>66.5663</v>
      </c>
      <c r="I1342" s="66">
        <v>73.9259</v>
      </c>
      <c r="J1342" s="66">
        <v>68.5715</v>
      </c>
      <c r="K1342" s="81">
        <f t="shared" si="2"/>
        <v>7.3596</v>
      </c>
      <c r="L1342" s="81">
        <f t="shared" si="3"/>
        <v>2.0052</v>
      </c>
      <c r="M1342" s="66">
        <v>2.2</v>
      </c>
    </row>
    <row r="1343">
      <c r="A1343" s="82">
        <v>44712.0</v>
      </c>
      <c r="B1343" s="82">
        <v>44712.0</v>
      </c>
      <c r="C1343" s="66" t="s">
        <v>213</v>
      </c>
      <c r="D1343" s="66" t="s">
        <v>198</v>
      </c>
      <c r="E1343" s="66">
        <v>0.0</v>
      </c>
      <c r="F1343" s="66" t="s">
        <v>204</v>
      </c>
      <c r="G1343" s="66">
        <f t="shared" si="13"/>
        <v>0</v>
      </c>
      <c r="H1343" s="66">
        <v>25.7881</v>
      </c>
      <c r="I1343" s="66">
        <v>27.8447</v>
      </c>
      <c r="J1343" s="66">
        <v>26.4388</v>
      </c>
      <c r="K1343" s="81">
        <f t="shared" si="2"/>
        <v>2.0566</v>
      </c>
      <c r="L1343" s="81">
        <f t="shared" si="3"/>
        <v>0.6507</v>
      </c>
      <c r="M1343" s="66">
        <v>5.0</v>
      </c>
    </row>
    <row r="1344">
      <c r="A1344" s="82">
        <v>44712.0</v>
      </c>
      <c r="B1344" s="82">
        <v>44712.0</v>
      </c>
      <c r="C1344" s="66" t="s">
        <v>212</v>
      </c>
      <c r="D1344" s="66" t="s">
        <v>198</v>
      </c>
      <c r="E1344" s="66">
        <v>0.0</v>
      </c>
      <c r="F1344" s="66" t="s">
        <v>204</v>
      </c>
      <c r="G1344" s="66">
        <f t="shared" si="13"/>
        <v>0</v>
      </c>
      <c r="H1344" s="66">
        <v>25.345</v>
      </c>
      <c r="I1344" s="66">
        <v>26.3774</v>
      </c>
      <c r="J1344" s="66">
        <v>25.5437</v>
      </c>
      <c r="K1344" s="81">
        <f t="shared" si="2"/>
        <v>1.0324</v>
      </c>
      <c r="L1344" s="81">
        <f t="shared" si="3"/>
        <v>0.1987</v>
      </c>
      <c r="M1344" s="66">
        <v>2.1</v>
      </c>
    </row>
    <row r="1345">
      <c r="A1345" s="82">
        <v>44712.0</v>
      </c>
      <c r="B1345" s="82">
        <v>44712.0</v>
      </c>
      <c r="C1345" s="66" t="s">
        <v>95</v>
      </c>
      <c r="D1345" s="66" t="s">
        <v>198</v>
      </c>
      <c r="E1345" s="66">
        <v>0.0</v>
      </c>
      <c r="F1345" s="66" t="s">
        <v>205</v>
      </c>
      <c r="G1345" s="66">
        <f t="shared" si="13"/>
        <v>0</v>
      </c>
      <c r="H1345" s="66">
        <v>68.15</v>
      </c>
      <c r="I1345" s="66">
        <v>70.2836</v>
      </c>
      <c r="J1345" s="66">
        <v>69.1202</v>
      </c>
      <c r="K1345" s="81">
        <f t="shared" si="2"/>
        <v>2.1336</v>
      </c>
      <c r="L1345" s="81">
        <f t="shared" si="3"/>
        <v>0.9702</v>
      </c>
      <c r="M1345" s="66">
        <v>2.2</v>
      </c>
    </row>
    <row r="1346">
      <c r="A1346" s="82">
        <v>44712.0</v>
      </c>
      <c r="B1346" s="82">
        <v>44712.0</v>
      </c>
      <c r="C1346" s="66" t="s">
        <v>95</v>
      </c>
      <c r="D1346" s="66" t="s">
        <v>198</v>
      </c>
      <c r="E1346" s="66">
        <v>0.0</v>
      </c>
      <c r="F1346" s="66" t="s">
        <v>204</v>
      </c>
      <c r="G1346" s="66">
        <f t="shared" si="13"/>
        <v>0</v>
      </c>
      <c r="H1346" s="66">
        <v>26.1978</v>
      </c>
      <c r="I1346" s="66">
        <v>26.2897</v>
      </c>
      <c r="J1346" s="66">
        <v>26.4093</v>
      </c>
      <c r="K1346" s="81">
        <f t="shared" si="2"/>
        <v>0.0919</v>
      </c>
      <c r="L1346" s="81">
        <f t="shared" si="3"/>
        <v>0.2115</v>
      </c>
      <c r="M1346" s="66">
        <v>3.0</v>
      </c>
    </row>
    <row r="1347">
      <c r="A1347" s="82">
        <v>44712.0</v>
      </c>
      <c r="B1347" s="82">
        <v>44712.0</v>
      </c>
      <c r="C1347" s="66" t="s">
        <v>95</v>
      </c>
      <c r="D1347" s="66" t="s">
        <v>198</v>
      </c>
      <c r="E1347" s="66">
        <v>0.0</v>
      </c>
      <c r="F1347" s="66" t="s">
        <v>204</v>
      </c>
      <c r="G1347" s="66">
        <f t="shared" si="13"/>
        <v>0</v>
      </c>
      <c r="H1347" s="66">
        <v>25.3211</v>
      </c>
      <c r="I1347" s="66">
        <v>26.2083</v>
      </c>
      <c r="J1347" s="66">
        <v>25.5488</v>
      </c>
      <c r="K1347" s="81">
        <f t="shared" si="2"/>
        <v>0.8872</v>
      </c>
      <c r="L1347" s="81">
        <f t="shared" si="3"/>
        <v>0.2277</v>
      </c>
      <c r="M1347" s="66">
        <v>1.0</v>
      </c>
    </row>
    <row r="1348">
      <c r="A1348" s="82">
        <v>44712.0</v>
      </c>
      <c r="B1348" s="82">
        <v>44712.0</v>
      </c>
      <c r="C1348" s="66" t="s">
        <v>95</v>
      </c>
      <c r="D1348" s="66" t="s">
        <v>198</v>
      </c>
      <c r="E1348" s="66">
        <v>0.0</v>
      </c>
      <c r="F1348" s="66" t="s">
        <v>204</v>
      </c>
      <c r="G1348" s="66">
        <f t="shared" si="13"/>
        <v>0</v>
      </c>
      <c r="H1348" s="66">
        <v>26.2404</v>
      </c>
      <c r="I1348" s="66">
        <v>27.123</v>
      </c>
      <c r="J1348" s="66">
        <v>26.4038</v>
      </c>
      <c r="K1348" s="81">
        <f t="shared" si="2"/>
        <v>0.8826</v>
      </c>
      <c r="L1348" s="81">
        <f t="shared" si="3"/>
        <v>0.1634</v>
      </c>
      <c r="M1348" s="66">
        <v>5.0</v>
      </c>
    </row>
    <row r="1349">
      <c r="A1349" s="82">
        <v>44712.0</v>
      </c>
      <c r="B1349" s="82">
        <v>44712.0</v>
      </c>
      <c r="C1349" s="66" t="s">
        <v>212</v>
      </c>
      <c r="D1349" s="66" t="s">
        <v>198</v>
      </c>
      <c r="E1349" s="66">
        <v>0.0</v>
      </c>
      <c r="F1349" s="66" t="s">
        <v>205</v>
      </c>
      <c r="G1349" s="66">
        <f t="shared" si="13"/>
        <v>0</v>
      </c>
      <c r="H1349" s="66">
        <v>66.9842</v>
      </c>
      <c r="I1349" s="66">
        <v>70.9461</v>
      </c>
      <c r="J1349" s="66">
        <v>68.2062</v>
      </c>
      <c r="K1349" s="81">
        <f t="shared" si="2"/>
        <v>3.9619</v>
      </c>
      <c r="L1349" s="81">
        <f t="shared" si="3"/>
        <v>1.222</v>
      </c>
      <c r="M1349" s="66">
        <v>3.0</v>
      </c>
    </row>
    <row r="1350">
      <c r="A1350" s="82">
        <v>44712.0</v>
      </c>
      <c r="B1350" s="82">
        <v>44712.0</v>
      </c>
      <c r="C1350" s="66" t="s">
        <v>213</v>
      </c>
      <c r="D1350" s="66" t="s">
        <v>198</v>
      </c>
      <c r="E1350" s="66">
        <v>0.0</v>
      </c>
      <c r="F1350" s="66" t="s">
        <v>205</v>
      </c>
      <c r="G1350" s="66">
        <f t="shared" si="13"/>
        <v>0</v>
      </c>
      <c r="H1350" s="66">
        <v>68.3779</v>
      </c>
      <c r="I1350" s="66">
        <v>72.7258</v>
      </c>
      <c r="J1350" s="66">
        <v>69.3856</v>
      </c>
      <c r="K1350" s="81">
        <f t="shared" si="2"/>
        <v>4.3479</v>
      </c>
      <c r="L1350" s="81">
        <f t="shared" si="3"/>
        <v>1.0077</v>
      </c>
      <c r="M1350" s="66">
        <v>5.0</v>
      </c>
    </row>
    <row r="1351">
      <c r="A1351" s="82">
        <v>44712.0</v>
      </c>
      <c r="B1351" s="82">
        <v>44712.0</v>
      </c>
      <c r="C1351" s="66" t="s">
        <v>212</v>
      </c>
      <c r="D1351" s="66" t="s">
        <v>198</v>
      </c>
      <c r="E1351" s="66">
        <v>0.0</v>
      </c>
      <c r="F1351" s="66" t="s">
        <v>58</v>
      </c>
      <c r="G1351" s="66">
        <f t="shared" si="13"/>
        <v>0</v>
      </c>
      <c r="H1351" s="66">
        <v>68.0362</v>
      </c>
      <c r="I1351" s="66">
        <v>70.9097</v>
      </c>
      <c r="J1351" s="66">
        <v>68.988</v>
      </c>
      <c r="K1351" s="81">
        <f t="shared" si="2"/>
        <v>2.8735</v>
      </c>
      <c r="L1351" s="81">
        <f t="shared" si="3"/>
        <v>0.9518</v>
      </c>
      <c r="M1351" s="66">
        <v>4.0</v>
      </c>
    </row>
    <row r="1352">
      <c r="A1352" s="82">
        <v>44712.0</v>
      </c>
      <c r="B1352" s="82">
        <v>44712.0</v>
      </c>
      <c r="C1352" s="66" t="s">
        <v>212</v>
      </c>
      <c r="D1352" s="66" t="s">
        <v>198</v>
      </c>
      <c r="E1352" s="66">
        <v>0.0</v>
      </c>
      <c r="F1352" s="66" t="s">
        <v>205</v>
      </c>
      <c r="G1352" s="66">
        <f t="shared" si="13"/>
        <v>0</v>
      </c>
      <c r="H1352" s="66">
        <v>67.8006</v>
      </c>
      <c r="I1352" s="66">
        <v>70.246</v>
      </c>
      <c r="J1352" s="66">
        <v>68.858</v>
      </c>
      <c r="K1352" s="81">
        <f t="shared" si="2"/>
        <v>2.4454</v>
      </c>
      <c r="L1352" s="81">
        <f t="shared" si="3"/>
        <v>1.0574</v>
      </c>
      <c r="M1352" s="66">
        <v>4.0</v>
      </c>
    </row>
    <row r="1353">
      <c r="A1353" s="82">
        <v>44712.0</v>
      </c>
      <c r="B1353" s="82">
        <v>44712.0</v>
      </c>
      <c r="C1353" s="66" t="s">
        <v>95</v>
      </c>
      <c r="D1353" s="66" t="s">
        <v>198</v>
      </c>
      <c r="E1353" s="66">
        <v>0.0</v>
      </c>
      <c r="F1353" s="66" t="s">
        <v>205</v>
      </c>
      <c r="G1353" s="66">
        <f t="shared" si="13"/>
        <v>0</v>
      </c>
      <c r="H1353" s="66">
        <v>67.5139</v>
      </c>
      <c r="I1353" s="66">
        <v>69.8722</v>
      </c>
      <c r="J1353" s="66">
        <v>68.4322</v>
      </c>
      <c r="K1353" s="81">
        <f t="shared" si="2"/>
        <v>2.3583</v>
      </c>
      <c r="L1353" s="81">
        <f t="shared" si="3"/>
        <v>0.9183</v>
      </c>
      <c r="M1353" s="66">
        <v>1.0</v>
      </c>
    </row>
    <row r="1354">
      <c r="A1354" s="82">
        <v>44712.0</v>
      </c>
      <c r="B1354" s="82">
        <v>44712.0</v>
      </c>
      <c r="C1354" s="66" t="s">
        <v>95</v>
      </c>
      <c r="D1354" s="66" t="s">
        <v>198</v>
      </c>
      <c r="E1354" s="66">
        <v>0.0</v>
      </c>
      <c r="F1354" s="66" t="s">
        <v>58</v>
      </c>
      <c r="G1354" s="66">
        <f t="shared" si="13"/>
        <v>0</v>
      </c>
      <c r="H1354" s="66">
        <v>67.4682</v>
      </c>
      <c r="I1354" s="66">
        <v>69.5088</v>
      </c>
      <c r="J1354" s="66">
        <v>68.1286</v>
      </c>
      <c r="K1354" s="81">
        <f t="shared" si="2"/>
        <v>2.0406</v>
      </c>
      <c r="L1354" s="81">
        <f t="shared" si="3"/>
        <v>0.6604</v>
      </c>
      <c r="M1354" s="66">
        <v>3.0</v>
      </c>
    </row>
    <row r="1355">
      <c r="A1355" s="82">
        <v>44712.0</v>
      </c>
      <c r="B1355" s="82">
        <v>44712.0</v>
      </c>
      <c r="C1355" s="66" t="s">
        <v>212</v>
      </c>
      <c r="D1355" s="66" t="s">
        <v>198</v>
      </c>
      <c r="E1355" s="66">
        <v>0.0</v>
      </c>
      <c r="F1355" s="66" t="s">
        <v>204</v>
      </c>
      <c r="G1355" s="66">
        <f t="shared" si="13"/>
        <v>0</v>
      </c>
      <c r="H1355" s="66">
        <v>25.4421</v>
      </c>
      <c r="I1355" s="66">
        <v>26.3878</v>
      </c>
      <c r="J1355" s="66">
        <v>25.625</v>
      </c>
      <c r="K1355" s="81">
        <f t="shared" si="2"/>
        <v>0.9457</v>
      </c>
      <c r="L1355" s="81">
        <f t="shared" si="3"/>
        <v>0.1829</v>
      </c>
      <c r="M1355" s="66">
        <v>4.0</v>
      </c>
    </row>
    <row r="1356">
      <c r="A1356" s="82">
        <v>44712.0</v>
      </c>
      <c r="B1356" s="82">
        <v>44712.0</v>
      </c>
      <c r="C1356" s="66" t="s">
        <v>213</v>
      </c>
      <c r="D1356" s="66" t="s">
        <v>198</v>
      </c>
      <c r="E1356" s="66">
        <v>0.0</v>
      </c>
      <c r="F1356" s="66" t="s">
        <v>204</v>
      </c>
      <c r="G1356" s="66">
        <f t="shared" si="13"/>
        <v>0</v>
      </c>
      <c r="H1356" s="66">
        <v>25.8051</v>
      </c>
      <c r="I1356" s="66">
        <v>27.0914</v>
      </c>
      <c r="J1356" s="66">
        <v>26.1227</v>
      </c>
      <c r="K1356" s="81">
        <f t="shared" si="2"/>
        <v>1.2863</v>
      </c>
      <c r="L1356" s="81">
        <f t="shared" si="3"/>
        <v>0.3176</v>
      </c>
      <c r="M1356" s="66">
        <v>2.1</v>
      </c>
    </row>
    <row r="1357">
      <c r="A1357" s="82">
        <v>44761.0</v>
      </c>
      <c r="B1357" s="82"/>
      <c r="C1357" s="66">
        <v>2023.0</v>
      </c>
      <c r="D1357" s="66" t="s">
        <v>198</v>
      </c>
      <c r="G1357" s="66">
        <f t="shared" si="13"/>
        <v>0</v>
      </c>
      <c r="K1357" s="81">
        <f t="shared" si="2"/>
        <v>0</v>
      </c>
      <c r="L1357" s="81">
        <f t="shared" si="3"/>
        <v>0</v>
      </c>
    </row>
    <row r="1358">
      <c r="A1358" s="82"/>
      <c r="B1358" s="82"/>
      <c r="C1358" s="66"/>
      <c r="D1358" s="66"/>
      <c r="E1358" s="66"/>
      <c r="F1358" s="66"/>
      <c r="G1358" s="66">
        <f t="shared" si="13"/>
        <v>0</v>
      </c>
      <c r="H1358" s="66"/>
      <c r="I1358" s="66"/>
      <c r="J1358" s="66"/>
      <c r="K1358" s="81">
        <f t="shared" si="2"/>
        <v>0</v>
      </c>
      <c r="L1358" s="81">
        <f t="shared" si="3"/>
        <v>0</v>
      </c>
    </row>
    <row r="1359">
      <c r="A1359" s="82"/>
      <c r="B1359" s="82"/>
      <c r="C1359" s="66"/>
      <c r="D1359" s="66"/>
      <c r="E1359" s="66"/>
      <c r="F1359" s="66"/>
      <c r="G1359" s="66">
        <f t="shared" si="13"/>
        <v>0</v>
      </c>
      <c r="H1359" s="66"/>
      <c r="I1359" s="66"/>
      <c r="J1359" s="66"/>
      <c r="K1359" s="81">
        <f t="shared" si="2"/>
        <v>0</v>
      </c>
      <c r="L1359" s="81">
        <f t="shared" si="3"/>
        <v>0</v>
      </c>
    </row>
    <row r="1360">
      <c r="A1360" s="82"/>
      <c r="B1360" s="82"/>
      <c r="C1360" s="66"/>
      <c r="D1360" s="66"/>
      <c r="E1360" s="66"/>
      <c r="F1360" s="66"/>
      <c r="G1360" s="66">
        <f t="shared" si="13"/>
        <v>0</v>
      </c>
      <c r="H1360" s="66"/>
      <c r="I1360" s="66"/>
      <c r="J1360" s="66"/>
      <c r="K1360" s="81">
        <f t="shared" si="2"/>
        <v>0</v>
      </c>
      <c r="L1360" s="81">
        <f t="shared" si="3"/>
        <v>0</v>
      </c>
    </row>
    <row r="1361">
      <c r="A1361" s="82"/>
      <c r="B1361" s="82"/>
      <c r="C1361" s="66"/>
      <c r="D1361" s="66"/>
      <c r="E1361" s="66"/>
      <c r="F1361" s="66"/>
      <c r="G1361" s="66">
        <f t="shared" si="13"/>
        <v>0</v>
      </c>
      <c r="H1361" s="66"/>
      <c r="I1361" s="66"/>
      <c r="J1361" s="66"/>
      <c r="K1361" s="81">
        <f t="shared" si="2"/>
        <v>0</v>
      </c>
      <c r="L1361" s="81">
        <f t="shared" si="3"/>
        <v>0</v>
      </c>
    </row>
    <row r="1362">
      <c r="A1362" s="82"/>
      <c r="B1362" s="82"/>
      <c r="C1362" s="66"/>
      <c r="D1362" s="66"/>
      <c r="E1362" s="66"/>
      <c r="F1362" s="66"/>
      <c r="G1362" s="66">
        <f t="shared" si="13"/>
        <v>0</v>
      </c>
      <c r="H1362" s="66"/>
      <c r="I1362" s="66"/>
      <c r="J1362" s="66"/>
      <c r="K1362" s="81">
        <f t="shared" si="2"/>
        <v>0</v>
      </c>
      <c r="L1362" s="81">
        <f t="shared" si="3"/>
        <v>0</v>
      </c>
    </row>
    <row r="1363">
      <c r="A1363" s="82"/>
      <c r="B1363" s="82"/>
      <c r="C1363" s="66"/>
      <c r="D1363" s="66"/>
      <c r="E1363" s="66"/>
      <c r="F1363" s="66"/>
      <c r="G1363" s="66">
        <f t="shared" si="13"/>
        <v>0</v>
      </c>
      <c r="H1363" s="66"/>
      <c r="I1363" s="66"/>
      <c r="J1363" s="66"/>
      <c r="K1363" s="81">
        <f t="shared" si="2"/>
        <v>0</v>
      </c>
      <c r="L1363" s="81">
        <f t="shared" si="3"/>
        <v>0</v>
      </c>
    </row>
    <row r="1364">
      <c r="A1364" s="82"/>
      <c r="B1364" s="82"/>
      <c r="C1364" s="66"/>
      <c r="D1364" s="66"/>
      <c r="E1364" s="66"/>
      <c r="F1364" s="66"/>
      <c r="G1364" s="66">
        <f t="shared" si="13"/>
        <v>0</v>
      </c>
      <c r="H1364" s="66"/>
      <c r="I1364" s="66"/>
      <c r="J1364" s="66"/>
      <c r="K1364" s="81">
        <f t="shared" si="2"/>
        <v>0</v>
      </c>
      <c r="L1364" s="81">
        <f t="shared" si="3"/>
        <v>0</v>
      </c>
    </row>
    <row r="1365">
      <c r="A1365" s="82"/>
      <c r="B1365" s="82"/>
      <c r="C1365" s="66"/>
      <c r="D1365" s="66"/>
      <c r="E1365" s="66"/>
      <c r="F1365" s="66"/>
      <c r="G1365" s="66">
        <f t="shared" si="13"/>
        <v>0</v>
      </c>
      <c r="H1365" s="66"/>
      <c r="I1365" s="66"/>
      <c r="J1365" s="66"/>
      <c r="K1365" s="81">
        <f t="shared" si="2"/>
        <v>0</v>
      </c>
      <c r="L1365" s="81">
        <f t="shared" si="3"/>
        <v>0</v>
      </c>
    </row>
    <row r="1366">
      <c r="A1366" s="82"/>
      <c r="B1366" s="82"/>
      <c r="C1366" s="66"/>
      <c r="D1366" s="66"/>
      <c r="E1366" s="66"/>
      <c r="F1366" s="66"/>
      <c r="G1366" s="66">
        <f t="shared" si="13"/>
        <v>0</v>
      </c>
      <c r="H1366" s="66"/>
      <c r="I1366" s="66"/>
      <c r="J1366" s="66"/>
      <c r="K1366" s="81">
        <f t="shared" si="2"/>
        <v>0</v>
      </c>
      <c r="L1366" s="81">
        <f t="shared" si="3"/>
        <v>0</v>
      </c>
    </row>
    <row r="1367">
      <c r="A1367" s="82"/>
      <c r="B1367" s="82"/>
      <c r="C1367" s="66"/>
      <c r="D1367" s="66"/>
      <c r="E1367" s="66"/>
      <c r="F1367" s="66"/>
      <c r="G1367" s="66">
        <f t="shared" si="13"/>
        <v>0</v>
      </c>
      <c r="H1367" s="66"/>
      <c r="I1367" s="66"/>
      <c r="J1367" s="66"/>
      <c r="K1367" s="81">
        <f t="shared" si="2"/>
        <v>0</v>
      </c>
      <c r="L1367" s="81">
        <f t="shared" si="3"/>
        <v>0</v>
      </c>
    </row>
    <row r="1368">
      <c r="A1368" s="82"/>
      <c r="B1368" s="82"/>
      <c r="C1368" s="66"/>
      <c r="D1368" s="66"/>
      <c r="E1368" s="66"/>
      <c r="F1368" s="66"/>
      <c r="G1368" s="66">
        <f t="shared" si="13"/>
        <v>0</v>
      </c>
      <c r="H1368" s="66"/>
      <c r="I1368" s="66"/>
      <c r="J1368" s="66"/>
      <c r="K1368" s="81">
        <f t="shared" si="2"/>
        <v>0</v>
      </c>
      <c r="L1368" s="81">
        <f t="shared" si="3"/>
        <v>0</v>
      </c>
    </row>
    <row r="1369">
      <c r="A1369" s="82"/>
      <c r="B1369" s="82"/>
      <c r="C1369" s="66"/>
      <c r="D1369" s="66"/>
      <c r="E1369" s="66"/>
      <c r="F1369" s="66"/>
      <c r="G1369" s="66">
        <f t="shared" si="13"/>
        <v>0</v>
      </c>
      <c r="H1369" s="66"/>
      <c r="I1369" s="66"/>
      <c r="J1369" s="66"/>
      <c r="K1369" s="81">
        <f t="shared" si="2"/>
        <v>0</v>
      </c>
      <c r="L1369" s="81">
        <f t="shared" si="3"/>
        <v>0</v>
      </c>
    </row>
    <row r="1370">
      <c r="A1370" s="82"/>
      <c r="B1370" s="82"/>
      <c r="C1370" s="66"/>
      <c r="D1370" s="66"/>
      <c r="E1370" s="66"/>
      <c r="F1370" s="66"/>
      <c r="G1370" s="66">
        <f t="shared" si="13"/>
        <v>0</v>
      </c>
      <c r="H1370" s="66"/>
      <c r="I1370" s="66"/>
      <c r="J1370" s="66"/>
      <c r="K1370" s="81">
        <f t="shared" si="2"/>
        <v>0</v>
      </c>
      <c r="L1370" s="81">
        <f t="shared" si="3"/>
        <v>0</v>
      </c>
    </row>
    <row r="1371">
      <c r="A1371" s="82"/>
      <c r="B1371" s="82"/>
      <c r="C1371" s="66"/>
      <c r="D1371" s="66"/>
      <c r="E1371" s="66"/>
      <c r="F1371" s="66"/>
      <c r="G1371" s="66">
        <f t="shared" si="13"/>
        <v>0</v>
      </c>
      <c r="H1371" s="66"/>
      <c r="I1371" s="66"/>
      <c r="J1371" s="66"/>
      <c r="K1371" s="81">
        <f t="shared" si="2"/>
        <v>0</v>
      </c>
      <c r="L1371" s="81">
        <f t="shared" si="3"/>
        <v>0</v>
      </c>
    </row>
    <row r="1372">
      <c r="A1372" s="82"/>
      <c r="B1372" s="82"/>
      <c r="C1372" s="66"/>
      <c r="D1372" s="66"/>
      <c r="E1372" s="66"/>
      <c r="F1372" s="66"/>
      <c r="G1372" s="66">
        <f t="shared" si="13"/>
        <v>0</v>
      </c>
      <c r="H1372" s="66"/>
      <c r="I1372" s="66"/>
      <c r="J1372" s="66"/>
      <c r="K1372" s="81">
        <f t="shared" si="2"/>
        <v>0</v>
      </c>
      <c r="L1372" s="81">
        <f t="shared" si="3"/>
        <v>0</v>
      </c>
    </row>
    <row r="1373">
      <c r="A1373" s="82"/>
      <c r="B1373" s="82"/>
      <c r="C1373" s="66"/>
      <c r="D1373" s="66"/>
      <c r="E1373" s="66"/>
      <c r="F1373" s="66"/>
      <c r="G1373" s="66">
        <f t="shared" si="13"/>
        <v>0</v>
      </c>
      <c r="H1373" s="66"/>
      <c r="I1373" s="66"/>
      <c r="J1373" s="66"/>
      <c r="K1373" s="81">
        <f t="shared" si="2"/>
        <v>0</v>
      </c>
      <c r="L1373" s="81">
        <f t="shared" si="3"/>
        <v>0</v>
      </c>
    </row>
    <row r="1374">
      <c r="A1374" s="82"/>
      <c r="B1374" s="82"/>
      <c r="C1374" s="66"/>
      <c r="D1374" s="66"/>
      <c r="E1374" s="66"/>
      <c r="F1374" s="66"/>
      <c r="G1374" s="66">
        <f t="shared" si="13"/>
        <v>0</v>
      </c>
      <c r="H1374" s="66"/>
      <c r="I1374" s="66"/>
      <c r="J1374" s="66"/>
      <c r="K1374" s="81">
        <f t="shared" si="2"/>
        <v>0</v>
      </c>
      <c r="L1374" s="81">
        <f t="shared" si="3"/>
        <v>0</v>
      </c>
    </row>
    <row r="1375">
      <c r="A1375" s="82"/>
      <c r="B1375" s="82"/>
      <c r="C1375" s="66"/>
      <c r="D1375" s="66"/>
      <c r="E1375" s="66"/>
      <c r="F1375" s="66"/>
      <c r="G1375" s="66">
        <f t="shared" si="13"/>
        <v>0</v>
      </c>
      <c r="H1375" s="66"/>
      <c r="I1375" s="66"/>
      <c r="J1375" s="66"/>
      <c r="K1375" s="81">
        <f t="shared" si="2"/>
        <v>0</v>
      </c>
      <c r="L1375" s="81">
        <f t="shared" si="3"/>
        <v>0</v>
      </c>
    </row>
    <row r="1376">
      <c r="A1376" s="82"/>
      <c r="B1376" s="82"/>
      <c r="C1376" s="66"/>
      <c r="D1376" s="66"/>
      <c r="E1376" s="66"/>
      <c r="F1376" s="66"/>
      <c r="G1376" s="66">
        <f t="shared" si="13"/>
        <v>0</v>
      </c>
      <c r="H1376" s="66"/>
      <c r="I1376" s="66"/>
      <c r="J1376" s="66"/>
      <c r="K1376" s="81">
        <f t="shared" si="2"/>
        <v>0</v>
      </c>
      <c r="L1376" s="81">
        <f t="shared" si="3"/>
        <v>0</v>
      </c>
    </row>
    <row r="1377">
      <c r="A1377" s="82"/>
      <c r="B1377" s="82"/>
      <c r="C1377" s="66"/>
      <c r="D1377" s="66"/>
      <c r="E1377" s="66"/>
      <c r="F1377" s="66"/>
      <c r="G1377" s="66">
        <f t="shared" si="13"/>
        <v>0</v>
      </c>
      <c r="H1377" s="66"/>
      <c r="I1377" s="66"/>
      <c r="J1377" s="66"/>
      <c r="K1377" s="81">
        <f t="shared" si="2"/>
        <v>0</v>
      </c>
      <c r="L1377" s="81">
        <f t="shared" si="3"/>
        <v>0</v>
      </c>
    </row>
    <row r="1378">
      <c r="A1378" s="82"/>
      <c r="B1378" s="82"/>
      <c r="C1378" s="66"/>
      <c r="D1378" s="66"/>
      <c r="E1378" s="66"/>
      <c r="F1378" s="66"/>
      <c r="G1378" s="66">
        <f t="shared" si="13"/>
        <v>0</v>
      </c>
      <c r="H1378" s="66"/>
      <c r="I1378" s="66"/>
      <c r="J1378" s="66"/>
      <c r="K1378" s="81">
        <f t="shared" si="2"/>
        <v>0</v>
      </c>
      <c r="L1378" s="81">
        <f t="shared" si="3"/>
        <v>0</v>
      </c>
    </row>
    <row r="1379">
      <c r="A1379" s="82"/>
      <c r="B1379" s="82"/>
      <c r="C1379" s="66"/>
      <c r="D1379" s="66"/>
      <c r="E1379" s="66"/>
      <c r="F1379" s="66"/>
      <c r="G1379" s="66">
        <f t="shared" si="13"/>
        <v>0</v>
      </c>
      <c r="H1379" s="66"/>
      <c r="I1379" s="66"/>
      <c r="J1379" s="66"/>
      <c r="K1379" s="81">
        <f t="shared" si="2"/>
        <v>0</v>
      </c>
      <c r="L1379" s="81">
        <f t="shared" si="3"/>
        <v>0</v>
      </c>
    </row>
    <row r="1380">
      <c r="A1380" s="82"/>
      <c r="B1380" s="82"/>
      <c r="C1380" s="66"/>
      <c r="D1380" s="66"/>
      <c r="E1380" s="66"/>
      <c r="F1380" s="66"/>
      <c r="G1380" s="66">
        <f t="shared" si="13"/>
        <v>0</v>
      </c>
      <c r="H1380" s="66"/>
      <c r="I1380" s="66"/>
      <c r="J1380" s="66"/>
      <c r="K1380" s="81">
        <f t="shared" si="2"/>
        <v>0</v>
      </c>
      <c r="L1380" s="81">
        <f t="shared" si="3"/>
        <v>0</v>
      </c>
    </row>
    <row r="1381">
      <c r="A1381" s="82"/>
      <c r="B1381" s="82"/>
      <c r="C1381" s="66"/>
      <c r="D1381" s="66"/>
      <c r="E1381" s="66"/>
      <c r="F1381" s="66"/>
      <c r="G1381" s="66">
        <f t="shared" si="13"/>
        <v>0</v>
      </c>
      <c r="H1381" s="66"/>
      <c r="I1381" s="66"/>
      <c r="J1381" s="66"/>
      <c r="K1381" s="81">
        <f t="shared" si="2"/>
        <v>0</v>
      </c>
      <c r="L1381" s="81">
        <f t="shared" si="3"/>
        <v>0</v>
      </c>
    </row>
    <row r="1382">
      <c r="A1382" s="82"/>
      <c r="B1382" s="82"/>
      <c r="C1382" s="66"/>
      <c r="D1382" s="66"/>
      <c r="E1382" s="66"/>
      <c r="F1382" s="66"/>
      <c r="G1382" s="66">
        <f t="shared" si="13"/>
        <v>0</v>
      </c>
      <c r="H1382" s="66"/>
      <c r="I1382" s="66"/>
      <c r="J1382" s="66"/>
      <c r="K1382" s="81">
        <f t="shared" si="2"/>
        <v>0</v>
      </c>
      <c r="L1382" s="81">
        <f t="shared" si="3"/>
        <v>0</v>
      </c>
    </row>
    <row r="1383">
      <c r="A1383" s="82"/>
      <c r="B1383" s="82"/>
      <c r="C1383" s="66"/>
      <c r="D1383" s="66"/>
      <c r="E1383" s="66"/>
      <c r="F1383" s="66"/>
      <c r="G1383" s="66">
        <f t="shared" si="13"/>
        <v>0</v>
      </c>
      <c r="H1383" s="66"/>
      <c r="I1383" s="66"/>
      <c r="J1383" s="66"/>
      <c r="K1383" s="81">
        <f t="shared" si="2"/>
        <v>0</v>
      </c>
      <c r="L1383" s="81">
        <f t="shared" si="3"/>
        <v>0</v>
      </c>
    </row>
    <row r="1384">
      <c r="A1384" s="82"/>
      <c r="B1384" s="82"/>
      <c r="C1384" s="66"/>
      <c r="D1384" s="66"/>
      <c r="E1384" s="66"/>
      <c r="F1384" s="66"/>
      <c r="G1384" s="66">
        <f t="shared" si="13"/>
        <v>0</v>
      </c>
      <c r="H1384" s="66"/>
      <c r="I1384" s="66"/>
      <c r="J1384" s="66"/>
      <c r="K1384" s="81">
        <f t="shared" si="2"/>
        <v>0</v>
      </c>
      <c r="L1384" s="81">
        <f t="shared" si="3"/>
        <v>0</v>
      </c>
    </row>
    <row r="1385">
      <c r="A1385" s="82"/>
      <c r="B1385" s="82"/>
      <c r="C1385" s="66"/>
      <c r="D1385" s="66"/>
      <c r="E1385" s="66"/>
      <c r="F1385" s="66"/>
      <c r="G1385" s="66">
        <f t="shared" si="13"/>
        <v>0</v>
      </c>
      <c r="H1385" s="66"/>
      <c r="I1385" s="66"/>
      <c r="J1385" s="66"/>
      <c r="K1385" s="81">
        <f t="shared" si="2"/>
        <v>0</v>
      </c>
      <c r="L1385" s="81">
        <f t="shared" si="3"/>
        <v>0</v>
      </c>
    </row>
    <row r="1386">
      <c r="A1386" s="82"/>
      <c r="B1386" s="82"/>
      <c r="C1386" s="66"/>
      <c r="D1386" s="66"/>
      <c r="E1386" s="66"/>
      <c r="F1386" s="66"/>
      <c r="G1386" s="66">
        <f t="shared" si="13"/>
        <v>0</v>
      </c>
      <c r="H1386" s="66"/>
      <c r="I1386" s="66"/>
      <c r="J1386" s="66"/>
      <c r="K1386" s="81">
        <f t="shared" si="2"/>
        <v>0</v>
      </c>
      <c r="L1386" s="81">
        <f t="shared" si="3"/>
        <v>0</v>
      </c>
    </row>
    <row r="1387">
      <c r="A1387" s="82"/>
      <c r="B1387" s="82"/>
      <c r="C1387" s="66"/>
      <c r="D1387" s="66"/>
      <c r="E1387" s="66"/>
      <c r="F1387" s="66"/>
      <c r="G1387" s="66">
        <f t="shared" si="13"/>
        <v>0</v>
      </c>
      <c r="H1387" s="66"/>
      <c r="I1387" s="66"/>
      <c r="J1387" s="66"/>
      <c r="K1387" s="81">
        <f t="shared" si="2"/>
        <v>0</v>
      </c>
      <c r="L1387" s="81">
        <f t="shared" si="3"/>
        <v>0</v>
      </c>
    </row>
    <row r="1388">
      <c r="A1388" s="82"/>
      <c r="B1388" s="82"/>
      <c r="C1388" s="66"/>
      <c r="D1388" s="66"/>
      <c r="E1388" s="66"/>
      <c r="F1388" s="66"/>
      <c r="G1388" s="66">
        <f t="shared" si="13"/>
        <v>0</v>
      </c>
      <c r="H1388" s="66"/>
      <c r="I1388" s="66"/>
      <c r="J1388" s="66"/>
      <c r="K1388" s="81">
        <f t="shared" si="2"/>
        <v>0</v>
      </c>
      <c r="L1388" s="81">
        <f t="shared" si="3"/>
        <v>0</v>
      </c>
    </row>
    <row r="1389">
      <c r="A1389" s="82"/>
      <c r="B1389" s="82"/>
      <c r="C1389" s="66"/>
      <c r="D1389" s="66"/>
      <c r="E1389" s="66"/>
      <c r="F1389" s="66"/>
      <c r="G1389" s="66">
        <f t="shared" si="13"/>
        <v>0</v>
      </c>
      <c r="H1389" s="66"/>
      <c r="I1389" s="66"/>
      <c r="J1389" s="66"/>
      <c r="K1389" s="81">
        <f t="shared" si="2"/>
        <v>0</v>
      </c>
      <c r="L1389" s="81">
        <f t="shared" si="3"/>
        <v>0</v>
      </c>
    </row>
    <row r="1390">
      <c r="A1390" s="82"/>
      <c r="B1390" s="82"/>
      <c r="C1390" s="66"/>
      <c r="D1390" s="66"/>
      <c r="E1390" s="66"/>
      <c r="F1390" s="66"/>
      <c r="G1390" s="66">
        <f t="shared" si="13"/>
        <v>0</v>
      </c>
      <c r="H1390" s="66"/>
      <c r="I1390" s="66"/>
      <c r="J1390" s="66"/>
      <c r="K1390" s="81">
        <f t="shared" si="2"/>
        <v>0</v>
      </c>
      <c r="L1390" s="81">
        <f t="shared" si="3"/>
        <v>0</v>
      </c>
    </row>
    <row r="1391">
      <c r="A1391" s="82"/>
      <c r="B1391" s="82"/>
      <c r="C1391" s="66"/>
      <c r="D1391" s="66"/>
      <c r="E1391" s="66"/>
      <c r="F1391" s="66"/>
      <c r="G1391" s="66">
        <f t="shared" si="13"/>
        <v>0</v>
      </c>
      <c r="H1391" s="66"/>
      <c r="I1391" s="66"/>
      <c r="J1391" s="66"/>
      <c r="K1391" s="81">
        <f t="shared" si="2"/>
        <v>0</v>
      </c>
      <c r="L1391" s="81">
        <f t="shared" si="3"/>
        <v>0</v>
      </c>
    </row>
    <row r="1392">
      <c r="A1392" s="82"/>
      <c r="B1392" s="82"/>
      <c r="C1392" s="66"/>
      <c r="D1392" s="66"/>
      <c r="E1392" s="66"/>
      <c r="F1392" s="66"/>
      <c r="G1392" s="66">
        <f t="shared" si="13"/>
        <v>0</v>
      </c>
      <c r="H1392" s="66"/>
      <c r="I1392" s="66"/>
      <c r="J1392" s="66"/>
      <c r="K1392" s="81">
        <f t="shared" si="2"/>
        <v>0</v>
      </c>
      <c r="L1392" s="81">
        <f t="shared" si="3"/>
        <v>0</v>
      </c>
    </row>
    <row r="1393">
      <c r="A1393" s="82"/>
      <c r="B1393" s="82"/>
      <c r="C1393" s="66"/>
      <c r="D1393" s="66"/>
      <c r="E1393" s="66"/>
      <c r="F1393" s="66"/>
      <c r="G1393" s="66">
        <f t="shared" si="13"/>
        <v>0</v>
      </c>
      <c r="H1393" s="66"/>
      <c r="I1393" s="66"/>
      <c r="J1393" s="66"/>
      <c r="K1393" s="81">
        <f t="shared" si="2"/>
        <v>0</v>
      </c>
      <c r="L1393" s="81">
        <f t="shared" si="3"/>
        <v>0</v>
      </c>
    </row>
    <row r="1394">
      <c r="A1394" s="82"/>
      <c r="B1394" s="82"/>
      <c r="C1394" s="66"/>
      <c r="D1394" s="66"/>
      <c r="E1394" s="66"/>
      <c r="F1394" s="66"/>
      <c r="G1394" s="66">
        <f t="shared" si="13"/>
        <v>0</v>
      </c>
      <c r="H1394" s="66"/>
      <c r="I1394" s="66"/>
      <c r="J1394" s="66"/>
      <c r="K1394" s="81">
        <f t="shared" si="2"/>
        <v>0</v>
      </c>
      <c r="L1394" s="81">
        <f t="shared" si="3"/>
        <v>0</v>
      </c>
    </row>
    <row r="1395">
      <c r="A1395" s="82"/>
      <c r="B1395" s="82"/>
      <c r="C1395" s="66"/>
      <c r="D1395" s="66"/>
      <c r="E1395" s="66"/>
      <c r="F1395" s="66"/>
      <c r="G1395" s="66">
        <f t="shared" si="13"/>
        <v>0</v>
      </c>
      <c r="H1395" s="66"/>
      <c r="I1395" s="66"/>
      <c r="J1395" s="66"/>
      <c r="K1395" s="81">
        <f t="shared" si="2"/>
        <v>0</v>
      </c>
      <c r="L1395" s="81">
        <f t="shared" si="3"/>
        <v>0</v>
      </c>
    </row>
    <row r="1396">
      <c r="A1396" s="82"/>
      <c r="B1396" s="82"/>
      <c r="C1396" s="66"/>
      <c r="D1396" s="66"/>
      <c r="E1396" s="66"/>
      <c r="F1396" s="66"/>
      <c r="G1396" s="66">
        <f t="shared" si="13"/>
        <v>0</v>
      </c>
      <c r="H1396" s="66"/>
      <c r="I1396" s="66"/>
      <c r="J1396" s="66"/>
      <c r="K1396" s="81">
        <f t="shared" si="2"/>
        <v>0</v>
      </c>
      <c r="L1396" s="81">
        <f t="shared" si="3"/>
        <v>0</v>
      </c>
    </row>
    <row r="1397">
      <c r="A1397" s="82"/>
      <c r="B1397" s="82"/>
      <c r="C1397" s="66"/>
      <c r="D1397" s="66"/>
      <c r="E1397" s="66"/>
      <c r="F1397" s="66"/>
      <c r="G1397" s="66">
        <f t="shared" si="13"/>
        <v>0</v>
      </c>
      <c r="H1397" s="66"/>
      <c r="I1397" s="66"/>
      <c r="J1397" s="66"/>
      <c r="K1397" s="81">
        <f t="shared" si="2"/>
        <v>0</v>
      </c>
      <c r="L1397" s="81">
        <f t="shared" si="3"/>
        <v>0</v>
      </c>
    </row>
    <row r="1398">
      <c r="A1398" s="82"/>
      <c r="B1398" s="82"/>
      <c r="C1398" s="66"/>
      <c r="D1398" s="66"/>
      <c r="E1398" s="66"/>
      <c r="F1398" s="66"/>
      <c r="G1398" s="66">
        <f t="shared" si="13"/>
        <v>0</v>
      </c>
      <c r="H1398" s="66"/>
      <c r="I1398" s="66"/>
      <c r="J1398" s="66"/>
      <c r="K1398" s="81">
        <f t="shared" si="2"/>
        <v>0</v>
      </c>
      <c r="L1398" s="81">
        <f t="shared" si="3"/>
        <v>0</v>
      </c>
    </row>
    <row r="1399">
      <c r="A1399" s="82"/>
      <c r="B1399" s="82"/>
      <c r="C1399" s="66"/>
      <c r="D1399" s="66"/>
      <c r="E1399" s="66"/>
      <c r="F1399" s="66"/>
      <c r="G1399" s="66">
        <f t="shared" si="13"/>
        <v>0</v>
      </c>
      <c r="H1399" s="66"/>
      <c r="I1399" s="66"/>
      <c r="J1399" s="66"/>
      <c r="K1399" s="81">
        <f t="shared" si="2"/>
        <v>0</v>
      </c>
      <c r="L1399" s="81">
        <f t="shared" si="3"/>
        <v>0</v>
      </c>
    </row>
    <row r="1400">
      <c r="A1400" s="82"/>
      <c r="B1400" s="82"/>
      <c r="C1400" s="66"/>
      <c r="D1400" s="66"/>
      <c r="E1400" s="66"/>
      <c r="F1400" s="66"/>
      <c r="G1400" s="66">
        <f t="shared" si="13"/>
        <v>0</v>
      </c>
      <c r="H1400" s="66"/>
      <c r="I1400" s="66"/>
      <c r="J1400" s="66"/>
      <c r="K1400" s="81">
        <f t="shared" si="2"/>
        <v>0</v>
      </c>
      <c r="L1400" s="81">
        <f t="shared" si="3"/>
        <v>0</v>
      </c>
    </row>
    <row r="1401">
      <c r="A1401" s="82"/>
      <c r="B1401" s="82"/>
      <c r="C1401" s="66"/>
      <c r="D1401" s="66"/>
      <c r="E1401" s="66"/>
      <c r="F1401" s="66"/>
      <c r="G1401" s="66">
        <f t="shared" si="13"/>
        <v>0</v>
      </c>
      <c r="H1401" s="66"/>
      <c r="I1401" s="66"/>
      <c r="J1401" s="66"/>
      <c r="K1401" s="81">
        <f t="shared" si="2"/>
        <v>0</v>
      </c>
      <c r="L1401" s="81">
        <f t="shared" si="3"/>
        <v>0</v>
      </c>
    </row>
    <row r="1402">
      <c r="A1402" s="82"/>
      <c r="B1402" s="82"/>
      <c r="C1402" s="66"/>
      <c r="D1402" s="66"/>
      <c r="E1402" s="66"/>
      <c r="F1402" s="66"/>
      <c r="G1402" s="66">
        <f t="shared" si="13"/>
        <v>0</v>
      </c>
      <c r="H1402" s="66"/>
      <c r="I1402" s="66"/>
      <c r="J1402" s="66"/>
      <c r="K1402" s="81">
        <f t="shared" si="2"/>
        <v>0</v>
      </c>
      <c r="L1402" s="81">
        <f t="shared" si="3"/>
        <v>0</v>
      </c>
    </row>
    <row r="1403">
      <c r="A1403" s="82"/>
      <c r="B1403" s="82"/>
      <c r="C1403" s="66"/>
      <c r="D1403" s="66"/>
      <c r="E1403" s="66"/>
      <c r="F1403" s="66"/>
      <c r="G1403" s="66">
        <f t="shared" si="13"/>
        <v>0</v>
      </c>
      <c r="H1403" s="66"/>
      <c r="I1403" s="66"/>
      <c r="J1403" s="66"/>
      <c r="K1403" s="81">
        <f t="shared" si="2"/>
        <v>0</v>
      </c>
      <c r="L1403" s="81">
        <f t="shared" si="3"/>
        <v>0</v>
      </c>
    </row>
    <row r="1404">
      <c r="A1404" s="82"/>
      <c r="B1404" s="82"/>
      <c r="C1404" s="66"/>
      <c r="D1404" s="66"/>
      <c r="E1404" s="66"/>
      <c r="F1404" s="66"/>
      <c r="G1404" s="66">
        <f t="shared" si="13"/>
        <v>0</v>
      </c>
      <c r="H1404" s="66"/>
      <c r="I1404" s="66"/>
      <c r="J1404" s="66"/>
      <c r="K1404" s="81">
        <f t="shared" si="2"/>
        <v>0</v>
      </c>
      <c r="L1404" s="81">
        <f t="shared" si="3"/>
        <v>0</v>
      </c>
    </row>
    <row r="1405">
      <c r="A1405" s="82"/>
      <c r="B1405" s="82"/>
      <c r="C1405" s="66"/>
      <c r="D1405" s="66"/>
      <c r="E1405" s="66"/>
      <c r="F1405" s="66"/>
      <c r="G1405" s="66">
        <f t="shared" si="13"/>
        <v>0</v>
      </c>
      <c r="H1405" s="66"/>
      <c r="I1405" s="66"/>
      <c r="J1405" s="66"/>
      <c r="K1405" s="81">
        <f t="shared" si="2"/>
        <v>0</v>
      </c>
      <c r="L1405" s="81">
        <f t="shared" si="3"/>
        <v>0</v>
      </c>
    </row>
    <row r="1406">
      <c r="A1406" s="82"/>
      <c r="B1406" s="82"/>
      <c r="C1406" s="66"/>
      <c r="D1406" s="66"/>
      <c r="E1406" s="66"/>
      <c r="F1406" s="66"/>
      <c r="G1406" s="66">
        <f t="shared" si="13"/>
        <v>0</v>
      </c>
      <c r="H1406" s="66"/>
      <c r="I1406" s="66"/>
      <c r="J1406" s="66"/>
      <c r="K1406" s="81">
        <f t="shared" si="2"/>
        <v>0</v>
      </c>
      <c r="L1406" s="81">
        <f t="shared" si="3"/>
        <v>0</v>
      </c>
    </row>
    <row r="1407">
      <c r="A1407" s="82"/>
      <c r="B1407" s="82"/>
      <c r="C1407" s="66"/>
      <c r="D1407" s="66"/>
      <c r="E1407" s="66"/>
      <c r="F1407" s="66"/>
      <c r="G1407" s="66">
        <f t="shared" si="13"/>
        <v>0</v>
      </c>
      <c r="H1407" s="66"/>
      <c r="I1407" s="66"/>
      <c r="J1407" s="66"/>
      <c r="K1407" s="81">
        <f t="shared" si="2"/>
        <v>0</v>
      </c>
      <c r="L1407" s="81">
        <f t="shared" si="3"/>
        <v>0</v>
      </c>
    </row>
    <row r="1408">
      <c r="A1408" s="82"/>
      <c r="B1408" s="82"/>
      <c r="C1408" s="66"/>
      <c r="D1408" s="66"/>
      <c r="E1408" s="66"/>
      <c r="F1408" s="66"/>
      <c r="G1408" s="66">
        <f t="shared" si="13"/>
        <v>0</v>
      </c>
      <c r="H1408" s="66"/>
      <c r="I1408" s="66"/>
      <c r="J1408" s="66"/>
      <c r="K1408" s="81">
        <f t="shared" si="2"/>
        <v>0</v>
      </c>
      <c r="L1408" s="81">
        <f t="shared" si="3"/>
        <v>0</v>
      </c>
    </row>
    <row r="1409">
      <c r="A1409" s="82"/>
      <c r="B1409" s="82"/>
      <c r="C1409" s="66"/>
      <c r="D1409" s="66"/>
      <c r="E1409" s="66"/>
      <c r="F1409" s="66"/>
      <c r="G1409" s="66">
        <f t="shared" si="13"/>
        <v>0</v>
      </c>
      <c r="H1409" s="66"/>
      <c r="I1409" s="66"/>
      <c r="J1409" s="66"/>
      <c r="K1409" s="81">
        <f t="shared" si="2"/>
        <v>0</v>
      </c>
      <c r="L1409" s="81">
        <f t="shared" si="3"/>
        <v>0</v>
      </c>
    </row>
    <row r="1410">
      <c r="A1410" s="82"/>
      <c r="B1410" s="82"/>
      <c r="C1410" s="66"/>
      <c r="D1410" s="66"/>
      <c r="E1410" s="66"/>
      <c r="F1410" s="66"/>
      <c r="G1410" s="66">
        <f t="shared" si="13"/>
        <v>0</v>
      </c>
      <c r="H1410" s="66"/>
      <c r="I1410" s="66"/>
      <c r="J1410" s="66"/>
      <c r="K1410" s="81">
        <f t="shared" si="2"/>
        <v>0</v>
      </c>
      <c r="L1410" s="81">
        <f t="shared" si="3"/>
        <v>0</v>
      </c>
    </row>
    <row r="1411">
      <c r="A1411" s="82"/>
      <c r="B1411" s="82"/>
      <c r="C1411" s="66"/>
      <c r="D1411" s="66"/>
      <c r="E1411" s="66"/>
      <c r="F1411" s="66"/>
      <c r="G1411" s="66">
        <f t="shared" si="13"/>
        <v>0</v>
      </c>
      <c r="H1411" s="66"/>
      <c r="I1411" s="66"/>
      <c r="J1411" s="66"/>
      <c r="K1411" s="81">
        <f t="shared" si="2"/>
        <v>0</v>
      </c>
      <c r="L1411" s="81">
        <f t="shared" si="3"/>
        <v>0</v>
      </c>
    </row>
    <row r="1412">
      <c r="A1412" s="82"/>
      <c r="B1412" s="82"/>
      <c r="C1412" s="66"/>
      <c r="D1412" s="66"/>
      <c r="E1412" s="66"/>
      <c r="F1412" s="66"/>
      <c r="G1412" s="66">
        <f t="shared" si="13"/>
        <v>0</v>
      </c>
      <c r="H1412" s="66"/>
      <c r="I1412" s="66"/>
      <c r="J1412" s="66"/>
      <c r="K1412" s="81">
        <f t="shared" si="2"/>
        <v>0</v>
      </c>
      <c r="L1412" s="81">
        <f t="shared" si="3"/>
        <v>0</v>
      </c>
    </row>
    <row r="1413">
      <c r="A1413" s="82"/>
      <c r="B1413" s="82"/>
      <c r="C1413" s="66"/>
      <c r="D1413" s="66"/>
      <c r="E1413" s="66"/>
      <c r="F1413" s="66"/>
      <c r="G1413" s="66">
        <f t="shared" si="13"/>
        <v>0</v>
      </c>
      <c r="H1413" s="66"/>
      <c r="I1413" s="66"/>
      <c r="J1413" s="66"/>
      <c r="K1413" s="81">
        <f t="shared" si="2"/>
        <v>0</v>
      </c>
      <c r="L1413" s="81">
        <f t="shared" si="3"/>
        <v>0</v>
      </c>
    </row>
    <row r="1414">
      <c r="A1414" s="82"/>
      <c r="B1414" s="82"/>
      <c r="C1414" s="66"/>
      <c r="D1414" s="66"/>
      <c r="E1414" s="66"/>
      <c r="F1414" s="66"/>
      <c r="G1414" s="66">
        <f t="shared" si="13"/>
        <v>0</v>
      </c>
      <c r="H1414" s="66"/>
      <c r="I1414" s="66"/>
      <c r="J1414" s="66"/>
      <c r="K1414" s="81">
        <f t="shared" si="2"/>
        <v>0</v>
      </c>
      <c r="L1414" s="81">
        <f t="shared" si="3"/>
        <v>0</v>
      </c>
    </row>
    <row r="1415">
      <c r="A1415" s="82"/>
      <c r="B1415" s="82"/>
      <c r="C1415" s="66"/>
      <c r="D1415" s="66"/>
      <c r="E1415" s="66"/>
      <c r="F1415" s="66"/>
      <c r="G1415" s="66">
        <f t="shared" si="13"/>
        <v>0</v>
      </c>
      <c r="H1415" s="66"/>
      <c r="I1415" s="66"/>
      <c r="J1415" s="66"/>
      <c r="K1415" s="81">
        <f t="shared" si="2"/>
        <v>0</v>
      </c>
      <c r="L1415" s="81">
        <f t="shared" si="3"/>
        <v>0</v>
      </c>
    </row>
    <row r="1416">
      <c r="A1416" s="82"/>
      <c r="B1416" s="82"/>
      <c r="C1416" s="66"/>
      <c r="D1416" s="66"/>
      <c r="E1416" s="66"/>
      <c r="F1416" s="66"/>
      <c r="G1416" s="66">
        <f t="shared" si="13"/>
        <v>0</v>
      </c>
      <c r="H1416" s="66"/>
      <c r="I1416" s="66"/>
      <c r="J1416" s="66"/>
      <c r="K1416" s="81">
        <f t="shared" si="2"/>
        <v>0</v>
      </c>
      <c r="L1416" s="81">
        <f t="shared" si="3"/>
        <v>0</v>
      </c>
    </row>
    <row r="1417">
      <c r="A1417" s="82"/>
      <c r="B1417" s="82"/>
      <c r="C1417" s="66"/>
      <c r="D1417" s="66"/>
      <c r="E1417" s="66"/>
      <c r="F1417" s="66"/>
      <c r="G1417" s="66">
        <f t="shared" si="13"/>
        <v>0</v>
      </c>
      <c r="H1417" s="66"/>
      <c r="I1417" s="66"/>
      <c r="J1417" s="66"/>
      <c r="K1417" s="81">
        <f t="shared" si="2"/>
        <v>0</v>
      </c>
      <c r="L1417" s="81">
        <f t="shared" si="3"/>
        <v>0</v>
      </c>
    </row>
    <row r="1418">
      <c r="A1418" s="82"/>
      <c r="B1418" s="82"/>
      <c r="C1418" s="66"/>
      <c r="D1418" s="66"/>
      <c r="E1418" s="66"/>
      <c r="F1418" s="66"/>
      <c r="G1418" s="66">
        <f t="shared" si="13"/>
        <v>0</v>
      </c>
      <c r="H1418" s="66"/>
      <c r="I1418" s="66"/>
      <c r="J1418" s="66"/>
      <c r="K1418" s="81">
        <f t="shared" si="2"/>
        <v>0</v>
      </c>
      <c r="L1418" s="81">
        <f t="shared" si="3"/>
        <v>0</v>
      </c>
    </row>
    <row r="1419">
      <c r="A1419" s="82"/>
      <c r="B1419" s="82"/>
      <c r="C1419" s="66"/>
      <c r="D1419" s="66"/>
      <c r="E1419" s="66"/>
      <c r="F1419" s="66"/>
      <c r="G1419" s="66">
        <f t="shared" si="13"/>
        <v>0</v>
      </c>
      <c r="H1419" s="66"/>
      <c r="I1419" s="66"/>
      <c r="J1419" s="66"/>
      <c r="K1419" s="81">
        <f t="shared" si="2"/>
        <v>0</v>
      </c>
      <c r="L1419" s="81">
        <f t="shared" si="3"/>
        <v>0</v>
      </c>
    </row>
    <row r="1420">
      <c r="A1420" s="82"/>
      <c r="B1420" s="82"/>
      <c r="C1420" s="66"/>
      <c r="D1420" s="66"/>
      <c r="E1420" s="66"/>
      <c r="F1420" s="66"/>
      <c r="G1420" s="66">
        <f t="shared" si="13"/>
        <v>0</v>
      </c>
      <c r="H1420" s="66"/>
      <c r="I1420" s="66"/>
      <c r="J1420" s="66"/>
      <c r="K1420" s="81">
        <f t="shared" si="2"/>
        <v>0</v>
      </c>
      <c r="L1420" s="81">
        <f t="shared" si="3"/>
        <v>0</v>
      </c>
    </row>
    <row r="1421">
      <c r="A1421" s="82"/>
      <c r="B1421" s="82"/>
      <c r="C1421" s="66"/>
      <c r="D1421" s="66"/>
      <c r="E1421" s="66"/>
      <c r="F1421" s="66"/>
      <c r="G1421" s="66">
        <f t="shared" si="13"/>
        <v>0</v>
      </c>
      <c r="H1421" s="66"/>
      <c r="I1421" s="66"/>
      <c r="J1421" s="66"/>
      <c r="K1421" s="81">
        <f t="shared" si="2"/>
        <v>0</v>
      </c>
      <c r="L1421" s="81">
        <f t="shared" si="3"/>
        <v>0</v>
      </c>
    </row>
    <row r="1422">
      <c r="A1422" s="82"/>
      <c r="B1422" s="82"/>
      <c r="C1422" s="66"/>
      <c r="D1422" s="66"/>
      <c r="E1422" s="66"/>
      <c r="F1422" s="66"/>
      <c r="G1422" s="66">
        <f t="shared" si="13"/>
        <v>0</v>
      </c>
      <c r="H1422" s="66"/>
      <c r="I1422" s="66"/>
      <c r="J1422" s="66"/>
      <c r="K1422" s="81">
        <f t="shared" si="2"/>
        <v>0</v>
      </c>
      <c r="L1422" s="81">
        <f t="shared" si="3"/>
        <v>0</v>
      </c>
    </row>
    <row r="1423">
      <c r="A1423" s="82"/>
      <c r="B1423" s="82"/>
      <c r="C1423" s="66"/>
      <c r="D1423" s="66"/>
      <c r="E1423" s="66"/>
      <c r="F1423" s="66"/>
      <c r="G1423" s="66">
        <f t="shared" si="13"/>
        <v>0</v>
      </c>
      <c r="H1423" s="66"/>
      <c r="I1423" s="66"/>
      <c r="J1423" s="66"/>
      <c r="K1423" s="81">
        <f t="shared" si="2"/>
        <v>0</v>
      </c>
      <c r="L1423" s="81">
        <f t="shared" si="3"/>
        <v>0</v>
      </c>
    </row>
    <row r="1424">
      <c r="A1424" s="82"/>
      <c r="B1424" s="82"/>
      <c r="C1424" s="66"/>
      <c r="D1424" s="66"/>
      <c r="E1424" s="66"/>
      <c r="F1424" s="66"/>
      <c r="G1424" s="66">
        <f t="shared" si="13"/>
        <v>0</v>
      </c>
      <c r="H1424" s="66"/>
      <c r="I1424" s="66"/>
      <c r="J1424" s="66"/>
      <c r="K1424" s="81">
        <f t="shared" si="2"/>
        <v>0</v>
      </c>
      <c r="L1424" s="81">
        <f t="shared" si="3"/>
        <v>0</v>
      </c>
    </row>
    <row r="1425">
      <c r="A1425" s="82"/>
      <c r="B1425" s="82"/>
      <c r="C1425" s="66"/>
      <c r="D1425" s="66"/>
      <c r="E1425" s="66"/>
      <c r="F1425" s="66"/>
      <c r="G1425" s="66">
        <f t="shared" si="13"/>
        <v>0</v>
      </c>
      <c r="H1425" s="66"/>
      <c r="I1425" s="66"/>
      <c r="J1425" s="66"/>
      <c r="K1425" s="81">
        <f t="shared" si="2"/>
        <v>0</v>
      </c>
      <c r="L1425" s="81">
        <f t="shared" si="3"/>
        <v>0</v>
      </c>
    </row>
    <row r="1426">
      <c r="A1426" s="82"/>
      <c r="B1426" s="82"/>
      <c r="C1426" s="66"/>
      <c r="D1426" s="66"/>
      <c r="E1426" s="66"/>
      <c r="F1426" s="66"/>
      <c r="G1426" s="66">
        <f t="shared" si="13"/>
        <v>0</v>
      </c>
      <c r="H1426" s="66"/>
      <c r="I1426" s="66"/>
      <c r="J1426" s="66"/>
      <c r="K1426" s="81">
        <f t="shared" si="2"/>
        <v>0</v>
      </c>
      <c r="L1426" s="81">
        <f t="shared" si="3"/>
        <v>0</v>
      </c>
    </row>
    <row r="1427">
      <c r="A1427" s="82"/>
      <c r="B1427" s="82"/>
      <c r="C1427" s="66"/>
      <c r="D1427" s="66"/>
      <c r="E1427" s="66"/>
      <c r="F1427" s="66"/>
      <c r="G1427" s="66">
        <f t="shared" si="13"/>
        <v>0</v>
      </c>
      <c r="H1427" s="66"/>
      <c r="I1427" s="66"/>
      <c r="J1427" s="66"/>
      <c r="K1427" s="81">
        <f t="shared" si="2"/>
        <v>0</v>
      </c>
      <c r="L1427" s="81">
        <f t="shared" si="3"/>
        <v>0</v>
      </c>
    </row>
    <row r="1428">
      <c r="A1428" s="82"/>
      <c r="B1428" s="82"/>
      <c r="C1428" s="66"/>
      <c r="D1428" s="66"/>
      <c r="E1428" s="66"/>
      <c r="F1428" s="66"/>
      <c r="G1428" s="66">
        <f t="shared" si="13"/>
        <v>0</v>
      </c>
      <c r="H1428" s="66"/>
      <c r="I1428" s="66"/>
      <c r="J1428" s="66"/>
      <c r="K1428" s="81">
        <f t="shared" si="2"/>
        <v>0</v>
      </c>
      <c r="L1428" s="81">
        <f t="shared" si="3"/>
        <v>0</v>
      </c>
    </row>
    <row r="1429">
      <c r="A1429" s="82"/>
      <c r="B1429" s="82"/>
      <c r="C1429" s="66"/>
      <c r="D1429" s="66"/>
      <c r="E1429" s="66"/>
      <c r="F1429" s="66"/>
      <c r="G1429" s="66">
        <f t="shared" si="13"/>
        <v>0</v>
      </c>
      <c r="H1429" s="66"/>
      <c r="I1429" s="66"/>
      <c r="J1429" s="66"/>
      <c r="K1429" s="81">
        <f t="shared" si="2"/>
        <v>0</v>
      </c>
      <c r="L1429" s="81">
        <f t="shared" si="3"/>
        <v>0</v>
      </c>
    </row>
    <row r="1430">
      <c r="A1430" s="82"/>
      <c r="B1430" s="82"/>
      <c r="C1430" s="66"/>
      <c r="D1430" s="66"/>
      <c r="E1430" s="66"/>
      <c r="F1430" s="66"/>
      <c r="G1430" s="66">
        <f t="shared" si="13"/>
        <v>0</v>
      </c>
      <c r="H1430" s="66"/>
      <c r="I1430" s="66"/>
      <c r="J1430" s="66"/>
      <c r="K1430" s="81">
        <f t="shared" si="2"/>
        <v>0</v>
      </c>
      <c r="L1430" s="81">
        <f t="shared" si="3"/>
        <v>0</v>
      </c>
    </row>
    <row r="1431">
      <c r="A1431" s="82"/>
      <c r="B1431" s="82"/>
      <c r="C1431" s="66"/>
      <c r="D1431" s="66"/>
      <c r="E1431" s="66"/>
      <c r="F1431" s="66"/>
      <c r="G1431" s="66">
        <f t="shared" si="13"/>
        <v>0</v>
      </c>
      <c r="H1431" s="66"/>
      <c r="I1431" s="66"/>
      <c r="J1431" s="66"/>
      <c r="K1431" s="81">
        <f t="shared" si="2"/>
        <v>0</v>
      </c>
      <c r="L1431" s="81">
        <f t="shared" si="3"/>
        <v>0</v>
      </c>
    </row>
    <row r="1432">
      <c r="A1432" s="82"/>
      <c r="B1432" s="82"/>
      <c r="C1432" s="66"/>
      <c r="D1432" s="66"/>
      <c r="E1432" s="66"/>
      <c r="F1432" s="66"/>
      <c r="G1432" s="66">
        <f t="shared" si="13"/>
        <v>0</v>
      </c>
      <c r="H1432" s="66"/>
      <c r="I1432" s="66"/>
      <c r="J1432" s="66"/>
      <c r="K1432" s="81">
        <f t="shared" si="2"/>
        <v>0</v>
      </c>
      <c r="L1432" s="81">
        <f t="shared" si="3"/>
        <v>0</v>
      </c>
    </row>
    <row r="1433">
      <c r="A1433" s="82"/>
      <c r="B1433" s="82"/>
      <c r="C1433" s="66"/>
      <c r="D1433" s="66"/>
      <c r="E1433" s="66"/>
      <c r="F1433" s="66"/>
      <c r="G1433" s="66">
        <f t="shared" si="13"/>
        <v>0</v>
      </c>
      <c r="H1433" s="66"/>
      <c r="I1433" s="66"/>
      <c r="J1433" s="66"/>
      <c r="K1433" s="81">
        <f t="shared" si="2"/>
        <v>0</v>
      </c>
      <c r="L1433" s="81">
        <f t="shared" si="3"/>
        <v>0</v>
      </c>
    </row>
    <row r="1434">
      <c r="A1434" s="82"/>
      <c r="B1434" s="82"/>
      <c r="C1434" s="66"/>
      <c r="D1434" s="66"/>
      <c r="E1434" s="66"/>
      <c r="F1434" s="66"/>
      <c r="G1434" s="66">
        <f t="shared" si="13"/>
        <v>0</v>
      </c>
      <c r="H1434" s="66"/>
      <c r="I1434" s="66"/>
      <c r="J1434" s="66"/>
      <c r="K1434" s="81">
        <f t="shared" si="2"/>
        <v>0</v>
      </c>
      <c r="L1434" s="81">
        <f t="shared" si="3"/>
        <v>0</v>
      </c>
    </row>
    <row r="1435">
      <c r="A1435" s="82"/>
      <c r="B1435" s="82"/>
      <c r="C1435" s="66"/>
      <c r="D1435" s="66"/>
      <c r="E1435" s="66"/>
      <c r="F1435" s="66"/>
      <c r="G1435" s="66">
        <f t="shared" si="13"/>
        <v>0</v>
      </c>
      <c r="H1435" s="66"/>
      <c r="I1435" s="66"/>
      <c r="J1435" s="66"/>
      <c r="K1435" s="81">
        <f t="shared" si="2"/>
        <v>0</v>
      </c>
      <c r="L1435" s="81">
        <f t="shared" si="3"/>
        <v>0</v>
      </c>
    </row>
    <row r="1436">
      <c r="A1436" s="82"/>
      <c r="B1436" s="82"/>
      <c r="C1436" s="66"/>
      <c r="D1436" s="66"/>
      <c r="E1436" s="66"/>
      <c r="F1436" s="66"/>
      <c r="G1436" s="66">
        <f t="shared" si="13"/>
        <v>0</v>
      </c>
      <c r="H1436" s="66"/>
      <c r="I1436" s="66"/>
      <c r="J1436" s="66"/>
      <c r="K1436" s="81">
        <f t="shared" si="2"/>
        <v>0</v>
      </c>
      <c r="L1436" s="81">
        <f t="shared" si="3"/>
        <v>0</v>
      </c>
    </row>
    <row r="1437">
      <c r="A1437" s="82"/>
      <c r="B1437" s="82"/>
      <c r="C1437" s="66"/>
      <c r="D1437" s="66"/>
      <c r="E1437" s="66"/>
      <c r="F1437" s="66"/>
      <c r="G1437" s="66">
        <f t="shared" si="13"/>
        <v>0</v>
      </c>
      <c r="H1437" s="66"/>
      <c r="I1437" s="66"/>
      <c r="J1437" s="66"/>
      <c r="K1437" s="81">
        <f t="shared" si="2"/>
        <v>0</v>
      </c>
      <c r="L1437" s="81">
        <f t="shared" si="3"/>
        <v>0</v>
      </c>
    </row>
    <row r="1438">
      <c r="A1438" s="82"/>
      <c r="B1438" s="82"/>
      <c r="C1438" s="66"/>
      <c r="D1438" s="66"/>
      <c r="E1438" s="66"/>
      <c r="F1438" s="66"/>
      <c r="G1438" s="66">
        <f t="shared" si="13"/>
        <v>0</v>
      </c>
      <c r="H1438" s="66"/>
      <c r="I1438" s="66"/>
      <c r="J1438" s="66"/>
      <c r="K1438" s="81">
        <f t="shared" si="2"/>
        <v>0</v>
      </c>
      <c r="L1438" s="81">
        <f t="shared" si="3"/>
        <v>0</v>
      </c>
    </row>
    <row r="1439">
      <c r="A1439" s="82"/>
      <c r="B1439" s="82"/>
      <c r="C1439" s="66"/>
      <c r="D1439" s="66"/>
      <c r="E1439" s="66"/>
      <c r="F1439" s="66"/>
      <c r="G1439" s="66">
        <f t="shared" si="13"/>
        <v>0</v>
      </c>
      <c r="H1439" s="66"/>
      <c r="I1439" s="66"/>
      <c r="J1439" s="66"/>
      <c r="K1439" s="81">
        <f t="shared" si="2"/>
        <v>0</v>
      </c>
      <c r="L1439" s="81">
        <f t="shared" si="3"/>
        <v>0</v>
      </c>
    </row>
    <row r="1440">
      <c r="A1440" s="82"/>
      <c r="B1440" s="82"/>
      <c r="C1440" s="66"/>
      <c r="D1440" s="66"/>
      <c r="E1440" s="66"/>
      <c r="F1440" s="66"/>
      <c r="G1440" s="66">
        <f t="shared" si="13"/>
        <v>0</v>
      </c>
      <c r="H1440" s="66"/>
      <c r="I1440" s="66"/>
      <c r="J1440" s="66"/>
      <c r="K1440" s="81">
        <f t="shared" si="2"/>
        <v>0</v>
      </c>
      <c r="L1440" s="81">
        <f t="shared" si="3"/>
        <v>0</v>
      </c>
    </row>
    <row r="1441">
      <c r="A1441" s="82"/>
      <c r="B1441" s="82"/>
      <c r="C1441" s="66"/>
      <c r="D1441" s="66"/>
      <c r="E1441" s="66"/>
      <c r="F1441" s="66"/>
      <c r="G1441" s="66">
        <f t="shared" si="13"/>
        <v>0</v>
      </c>
      <c r="H1441" s="66"/>
      <c r="I1441" s="66"/>
      <c r="J1441" s="66"/>
      <c r="K1441" s="81">
        <f t="shared" si="2"/>
        <v>0</v>
      </c>
      <c r="L1441" s="81">
        <f t="shared" si="3"/>
        <v>0</v>
      </c>
    </row>
    <row r="1442">
      <c r="A1442" s="82"/>
      <c r="B1442" s="82"/>
      <c r="C1442" s="66"/>
      <c r="D1442" s="66"/>
      <c r="E1442" s="66"/>
      <c r="F1442" s="66"/>
      <c r="G1442" s="66">
        <f t="shared" si="13"/>
        <v>0</v>
      </c>
      <c r="H1442" s="66"/>
      <c r="I1442" s="66"/>
      <c r="J1442" s="66"/>
      <c r="K1442" s="81">
        <f t="shared" si="2"/>
        <v>0</v>
      </c>
      <c r="L1442" s="81">
        <f t="shared" si="3"/>
        <v>0</v>
      </c>
    </row>
    <row r="1443">
      <c r="A1443" s="82"/>
      <c r="B1443" s="82"/>
      <c r="C1443" s="66"/>
      <c r="D1443" s="66"/>
      <c r="E1443" s="66"/>
      <c r="F1443" s="66"/>
      <c r="G1443" s="66">
        <f t="shared" si="13"/>
        <v>0</v>
      </c>
      <c r="H1443" s="66"/>
      <c r="I1443" s="66"/>
      <c r="J1443" s="66"/>
      <c r="K1443" s="81">
        <f t="shared" si="2"/>
        <v>0</v>
      </c>
      <c r="L1443" s="81">
        <f t="shared" si="3"/>
        <v>0</v>
      </c>
    </row>
    <row r="1444">
      <c r="A1444" s="82"/>
      <c r="B1444" s="82"/>
      <c r="C1444" s="66"/>
      <c r="D1444" s="66"/>
      <c r="E1444" s="66"/>
      <c r="F1444" s="66"/>
      <c r="G1444" s="66">
        <f t="shared" si="13"/>
        <v>0</v>
      </c>
      <c r="H1444" s="66"/>
      <c r="I1444" s="66"/>
      <c r="J1444" s="66"/>
      <c r="K1444" s="81">
        <f t="shared" si="2"/>
        <v>0</v>
      </c>
      <c r="L1444" s="81">
        <f t="shared" si="3"/>
        <v>0</v>
      </c>
    </row>
    <row r="1445">
      <c r="A1445" s="82"/>
      <c r="B1445" s="82"/>
      <c r="C1445" s="66"/>
      <c r="D1445" s="66"/>
      <c r="E1445" s="66"/>
      <c r="F1445" s="66"/>
      <c r="G1445" s="66">
        <f t="shared" si="13"/>
        <v>0</v>
      </c>
      <c r="H1445" s="66"/>
      <c r="I1445" s="66"/>
      <c r="J1445" s="66"/>
      <c r="K1445" s="81">
        <f t="shared" si="2"/>
        <v>0</v>
      </c>
      <c r="L1445" s="81">
        <f t="shared" si="3"/>
        <v>0</v>
      </c>
    </row>
    <row r="1446">
      <c r="A1446" s="82"/>
      <c r="B1446" s="82"/>
      <c r="C1446" s="66"/>
      <c r="D1446" s="66"/>
      <c r="E1446" s="66"/>
      <c r="F1446" s="66"/>
      <c r="G1446" s="66">
        <f t="shared" si="13"/>
        <v>0</v>
      </c>
      <c r="H1446" s="66"/>
      <c r="I1446" s="66"/>
      <c r="J1446" s="66"/>
      <c r="K1446" s="81">
        <f t="shared" si="2"/>
        <v>0</v>
      </c>
      <c r="L1446" s="81">
        <f t="shared" si="3"/>
        <v>0</v>
      </c>
    </row>
    <row r="1447">
      <c r="A1447" s="82"/>
      <c r="B1447" s="82"/>
      <c r="C1447" s="66"/>
      <c r="D1447" s="66"/>
      <c r="E1447" s="66"/>
      <c r="F1447" s="66"/>
      <c r="G1447" s="66">
        <f t="shared" si="13"/>
        <v>0</v>
      </c>
      <c r="H1447" s="66"/>
      <c r="I1447" s="66"/>
      <c r="J1447" s="66"/>
      <c r="K1447" s="81">
        <f t="shared" si="2"/>
        <v>0</v>
      </c>
      <c r="L1447" s="81">
        <f t="shared" si="3"/>
        <v>0</v>
      </c>
    </row>
    <row r="1448">
      <c r="A1448" s="82"/>
      <c r="B1448" s="82"/>
      <c r="C1448" s="66"/>
      <c r="D1448" s="66"/>
      <c r="E1448" s="66"/>
      <c r="F1448" s="66"/>
      <c r="G1448" s="66">
        <f t="shared" si="13"/>
        <v>0</v>
      </c>
      <c r="H1448" s="66"/>
      <c r="I1448" s="66"/>
      <c r="J1448" s="66"/>
      <c r="K1448" s="81">
        <f t="shared" si="2"/>
        <v>0</v>
      </c>
      <c r="L1448" s="81">
        <f t="shared" si="3"/>
        <v>0</v>
      </c>
    </row>
    <row r="1449">
      <c r="A1449" s="82"/>
      <c r="B1449" s="82"/>
      <c r="C1449" s="66"/>
      <c r="D1449" s="66"/>
      <c r="E1449" s="66"/>
      <c r="F1449" s="66"/>
      <c r="G1449" s="66">
        <f t="shared" si="13"/>
        <v>0</v>
      </c>
      <c r="H1449" s="66"/>
      <c r="I1449" s="66"/>
      <c r="J1449" s="66"/>
      <c r="K1449" s="81">
        <f t="shared" si="2"/>
        <v>0</v>
      </c>
      <c r="L1449" s="81">
        <f t="shared" si="3"/>
        <v>0</v>
      </c>
    </row>
    <row r="1450">
      <c r="A1450" s="82"/>
      <c r="B1450" s="82"/>
      <c r="C1450" s="66"/>
      <c r="D1450" s="66"/>
      <c r="E1450" s="66"/>
      <c r="F1450" s="66"/>
      <c r="G1450" s="66">
        <f t="shared" si="13"/>
        <v>0</v>
      </c>
      <c r="H1450" s="66"/>
      <c r="I1450" s="66"/>
      <c r="J1450" s="66"/>
      <c r="K1450" s="81">
        <f t="shared" si="2"/>
        <v>0</v>
      </c>
      <c r="L1450" s="81">
        <f t="shared" si="3"/>
        <v>0</v>
      </c>
    </row>
    <row r="1451">
      <c r="A1451" s="82"/>
      <c r="B1451" s="82"/>
      <c r="C1451" s="66"/>
      <c r="D1451" s="66"/>
      <c r="E1451" s="66"/>
      <c r="F1451" s="66"/>
      <c r="G1451" s="66">
        <f t="shared" si="13"/>
        <v>0</v>
      </c>
      <c r="H1451" s="66"/>
      <c r="I1451" s="66"/>
      <c r="J1451" s="66"/>
      <c r="K1451" s="81">
        <f t="shared" si="2"/>
        <v>0</v>
      </c>
      <c r="L1451" s="81">
        <f t="shared" si="3"/>
        <v>0</v>
      </c>
    </row>
    <row r="1452">
      <c r="A1452" s="82"/>
      <c r="B1452" s="82"/>
      <c r="C1452" s="66"/>
      <c r="D1452" s="66"/>
      <c r="E1452" s="66"/>
      <c r="F1452" s="66"/>
      <c r="G1452" s="66">
        <f t="shared" si="13"/>
        <v>0</v>
      </c>
      <c r="H1452" s="66"/>
      <c r="I1452" s="66"/>
      <c r="J1452" s="66"/>
      <c r="K1452" s="81">
        <f t="shared" si="2"/>
        <v>0</v>
      </c>
      <c r="L1452" s="81">
        <f t="shared" si="3"/>
        <v>0</v>
      </c>
    </row>
    <row r="1453">
      <c r="A1453" s="82"/>
      <c r="B1453" s="82"/>
      <c r="C1453" s="66"/>
      <c r="D1453" s="66"/>
      <c r="E1453" s="66"/>
      <c r="F1453" s="66"/>
      <c r="G1453" s="66">
        <f t="shared" si="13"/>
        <v>0</v>
      </c>
      <c r="H1453" s="66"/>
      <c r="I1453" s="66"/>
      <c r="J1453" s="66"/>
      <c r="K1453" s="81">
        <f t="shared" si="2"/>
        <v>0</v>
      </c>
      <c r="L1453" s="81">
        <f t="shared" si="3"/>
        <v>0</v>
      </c>
    </row>
    <row r="1454">
      <c r="A1454" s="82"/>
      <c r="B1454" s="82"/>
      <c r="C1454" s="66"/>
      <c r="D1454" s="66"/>
      <c r="E1454" s="66"/>
      <c r="F1454" s="66"/>
      <c r="G1454" s="66">
        <f t="shared" si="13"/>
        <v>0</v>
      </c>
      <c r="H1454" s="66"/>
      <c r="I1454" s="66"/>
      <c r="J1454" s="66"/>
      <c r="K1454" s="81">
        <f t="shared" si="2"/>
        <v>0</v>
      </c>
      <c r="L1454" s="81">
        <f t="shared" si="3"/>
        <v>0</v>
      </c>
    </row>
    <row r="1455">
      <c r="A1455" s="82"/>
      <c r="B1455" s="82"/>
      <c r="C1455" s="66"/>
      <c r="D1455" s="66"/>
      <c r="E1455" s="66"/>
      <c r="F1455" s="66"/>
      <c r="G1455" s="66">
        <f t="shared" si="13"/>
        <v>0</v>
      </c>
      <c r="H1455" s="66"/>
      <c r="I1455" s="66"/>
      <c r="J1455" s="66"/>
      <c r="K1455" s="81">
        <f t="shared" si="2"/>
        <v>0</v>
      </c>
      <c r="L1455" s="81">
        <f t="shared" si="3"/>
        <v>0</v>
      </c>
    </row>
    <row r="1456">
      <c r="A1456" s="82"/>
      <c r="B1456" s="82"/>
      <c r="C1456" s="66"/>
      <c r="D1456" s="66"/>
      <c r="E1456" s="66"/>
      <c r="F1456" s="66"/>
      <c r="G1456" s="66">
        <f t="shared" si="13"/>
        <v>0</v>
      </c>
      <c r="H1456" s="66"/>
      <c r="I1456" s="66"/>
      <c r="J1456" s="66"/>
      <c r="K1456" s="81">
        <f t="shared" si="2"/>
        <v>0</v>
      </c>
      <c r="L1456" s="81">
        <f t="shared" si="3"/>
        <v>0</v>
      </c>
    </row>
    <row r="1457">
      <c r="A1457" s="82"/>
      <c r="B1457" s="82"/>
      <c r="C1457" s="66"/>
      <c r="D1457" s="66"/>
      <c r="E1457" s="66"/>
      <c r="F1457" s="66"/>
      <c r="G1457" s="66">
        <f t="shared" si="13"/>
        <v>0</v>
      </c>
      <c r="H1457" s="66"/>
      <c r="I1457" s="66"/>
      <c r="J1457" s="66"/>
      <c r="K1457" s="81">
        <f t="shared" si="2"/>
        <v>0</v>
      </c>
      <c r="L1457" s="81">
        <f t="shared" si="3"/>
        <v>0</v>
      </c>
    </row>
    <row r="1458">
      <c r="A1458" s="82"/>
      <c r="B1458" s="82"/>
      <c r="C1458" s="66"/>
      <c r="D1458" s="66"/>
      <c r="E1458" s="66"/>
      <c r="F1458" s="66"/>
      <c r="G1458" s="66">
        <f t="shared" si="13"/>
        <v>0</v>
      </c>
      <c r="H1458" s="66"/>
      <c r="I1458" s="66"/>
      <c r="J1458" s="66"/>
      <c r="K1458" s="81">
        <f t="shared" si="2"/>
        <v>0</v>
      </c>
      <c r="L1458" s="81">
        <f t="shared" si="3"/>
        <v>0</v>
      </c>
    </row>
    <row r="1459">
      <c r="A1459" s="82"/>
      <c r="B1459" s="82"/>
      <c r="C1459" s="66"/>
      <c r="D1459" s="66"/>
      <c r="E1459" s="66"/>
      <c r="F1459" s="66"/>
      <c r="G1459" s="66">
        <f t="shared" si="13"/>
        <v>0</v>
      </c>
      <c r="H1459" s="66"/>
      <c r="I1459" s="66"/>
      <c r="J1459" s="66"/>
      <c r="K1459" s="81">
        <f t="shared" si="2"/>
        <v>0</v>
      </c>
      <c r="L1459" s="81">
        <f t="shared" si="3"/>
        <v>0</v>
      </c>
    </row>
    <row r="1460">
      <c r="A1460" s="82"/>
      <c r="B1460" s="82"/>
      <c r="C1460" s="66"/>
      <c r="D1460" s="66"/>
      <c r="E1460" s="66"/>
      <c r="F1460" s="66"/>
      <c r="G1460" s="66">
        <f t="shared" si="13"/>
        <v>0</v>
      </c>
      <c r="H1460" s="66"/>
      <c r="I1460" s="66"/>
      <c r="J1460" s="66"/>
      <c r="K1460" s="81">
        <f t="shared" si="2"/>
        <v>0</v>
      </c>
      <c r="L1460" s="81">
        <f t="shared" si="3"/>
        <v>0</v>
      </c>
    </row>
    <row r="1461">
      <c r="A1461" s="82"/>
      <c r="B1461" s="82"/>
      <c r="C1461" s="66"/>
      <c r="D1461" s="66"/>
      <c r="E1461" s="66"/>
      <c r="F1461" s="66"/>
      <c r="G1461" s="66">
        <f t="shared" si="13"/>
        <v>0</v>
      </c>
      <c r="H1461" s="66"/>
      <c r="I1461" s="66"/>
      <c r="J1461" s="66"/>
      <c r="K1461" s="81">
        <f t="shared" si="2"/>
        <v>0</v>
      </c>
      <c r="L1461" s="81">
        <f t="shared" si="3"/>
        <v>0</v>
      </c>
    </row>
    <row r="1462">
      <c r="A1462" s="82"/>
      <c r="B1462" s="82"/>
      <c r="C1462" s="66"/>
      <c r="D1462" s="66"/>
      <c r="E1462" s="66"/>
      <c r="F1462" s="66"/>
      <c r="G1462" s="66">
        <f t="shared" si="13"/>
        <v>0</v>
      </c>
      <c r="H1462" s="66"/>
      <c r="I1462" s="66"/>
      <c r="J1462" s="66"/>
      <c r="K1462" s="81">
        <f t="shared" si="2"/>
        <v>0</v>
      </c>
      <c r="L1462" s="81">
        <f t="shared" si="3"/>
        <v>0</v>
      </c>
    </row>
    <row r="1463">
      <c r="A1463" s="82"/>
      <c r="B1463" s="82"/>
      <c r="C1463" s="66"/>
      <c r="D1463" s="66"/>
      <c r="E1463" s="66"/>
      <c r="F1463" s="66"/>
      <c r="G1463" s="66">
        <f t="shared" si="13"/>
        <v>0</v>
      </c>
      <c r="H1463" s="66"/>
      <c r="I1463" s="66"/>
      <c r="J1463" s="66"/>
      <c r="K1463" s="81">
        <f t="shared" si="2"/>
        <v>0</v>
      </c>
      <c r="L1463" s="81">
        <f t="shared" si="3"/>
        <v>0</v>
      </c>
    </row>
    <row r="1464">
      <c r="A1464" s="82"/>
      <c r="B1464" s="82"/>
      <c r="C1464" s="66"/>
      <c r="D1464" s="66"/>
      <c r="E1464" s="66"/>
      <c r="F1464" s="66"/>
      <c r="G1464" s="66">
        <f t="shared" si="13"/>
        <v>0</v>
      </c>
      <c r="H1464" s="66"/>
      <c r="I1464" s="66"/>
      <c r="J1464" s="66"/>
      <c r="K1464" s="81">
        <f t="shared" si="2"/>
        <v>0</v>
      </c>
      <c r="L1464" s="81">
        <f t="shared" si="3"/>
        <v>0</v>
      </c>
    </row>
    <row r="1465">
      <c r="A1465" s="82"/>
      <c r="B1465" s="82"/>
      <c r="C1465" s="66"/>
      <c r="D1465" s="66"/>
      <c r="E1465" s="66"/>
      <c r="F1465" s="66"/>
      <c r="G1465" s="66">
        <f t="shared" si="13"/>
        <v>0</v>
      </c>
      <c r="H1465" s="66"/>
      <c r="I1465" s="66"/>
      <c r="J1465" s="66"/>
      <c r="K1465" s="81">
        <f t="shared" si="2"/>
        <v>0</v>
      </c>
      <c r="L1465" s="81">
        <f t="shared" si="3"/>
        <v>0</v>
      </c>
    </row>
    <row r="1466">
      <c r="A1466" s="82"/>
      <c r="B1466" s="82"/>
      <c r="C1466" s="66"/>
      <c r="D1466" s="66"/>
      <c r="E1466" s="66"/>
      <c r="F1466" s="66"/>
      <c r="G1466" s="66">
        <f t="shared" si="13"/>
        <v>0</v>
      </c>
      <c r="H1466" s="66"/>
      <c r="I1466" s="66"/>
      <c r="J1466" s="66"/>
      <c r="K1466" s="81">
        <f t="shared" si="2"/>
        <v>0</v>
      </c>
      <c r="L1466" s="81">
        <f t="shared" si="3"/>
        <v>0</v>
      </c>
    </row>
    <row r="1467">
      <c r="A1467" s="82"/>
      <c r="B1467" s="82"/>
      <c r="C1467" s="66"/>
      <c r="D1467" s="66"/>
      <c r="E1467" s="66"/>
      <c r="F1467" s="66"/>
      <c r="G1467" s="66">
        <f t="shared" si="13"/>
        <v>0</v>
      </c>
      <c r="H1467" s="66"/>
      <c r="I1467" s="66"/>
      <c r="J1467" s="66"/>
      <c r="K1467" s="81">
        <f t="shared" si="2"/>
        <v>0</v>
      </c>
      <c r="L1467" s="81">
        <f t="shared" si="3"/>
        <v>0</v>
      </c>
    </row>
    <row r="1468">
      <c r="A1468" s="82"/>
      <c r="B1468" s="82"/>
      <c r="C1468" s="66"/>
      <c r="D1468" s="66"/>
      <c r="E1468" s="66"/>
      <c r="F1468" s="66"/>
      <c r="G1468" s="66">
        <f t="shared" si="13"/>
        <v>0</v>
      </c>
      <c r="H1468" s="66"/>
      <c r="I1468" s="66"/>
      <c r="J1468" s="66"/>
      <c r="K1468" s="81">
        <f t="shared" si="2"/>
        <v>0</v>
      </c>
      <c r="L1468" s="81">
        <f t="shared" si="3"/>
        <v>0</v>
      </c>
    </row>
    <row r="1469">
      <c r="A1469" s="82"/>
      <c r="B1469" s="82"/>
      <c r="C1469" s="66"/>
      <c r="D1469" s="66"/>
      <c r="E1469" s="66"/>
      <c r="F1469" s="66"/>
      <c r="G1469" s="66">
        <f t="shared" si="13"/>
        <v>0</v>
      </c>
      <c r="H1469" s="66"/>
      <c r="I1469" s="66"/>
      <c r="J1469" s="66"/>
      <c r="K1469" s="81">
        <f t="shared" si="2"/>
        <v>0</v>
      </c>
      <c r="L1469" s="81">
        <f t="shared" si="3"/>
        <v>0</v>
      </c>
    </row>
    <row r="1470">
      <c r="A1470" s="82"/>
      <c r="B1470" s="82"/>
      <c r="C1470" s="66"/>
      <c r="D1470" s="66"/>
      <c r="E1470" s="66"/>
      <c r="F1470" s="66"/>
      <c r="G1470" s="66">
        <f t="shared" si="13"/>
        <v>0</v>
      </c>
      <c r="H1470" s="66"/>
      <c r="I1470" s="66"/>
      <c r="J1470" s="66"/>
      <c r="K1470" s="81">
        <f t="shared" si="2"/>
        <v>0</v>
      </c>
      <c r="L1470" s="81">
        <f t="shared" si="3"/>
        <v>0</v>
      </c>
    </row>
    <row r="1471">
      <c r="A1471" s="82"/>
      <c r="B1471" s="82"/>
      <c r="C1471" s="66"/>
      <c r="D1471" s="66"/>
      <c r="E1471" s="66"/>
      <c r="F1471" s="66"/>
      <c r="G1471" s="66">
        <f t="shared" si="13"/>
        <v>0</v>
      </c>
      <c r="H1471" s="66"/>
      <c r="I1471" s="66"/>
      <c r="J1471" s="66"/>
      <c r="K1471" s="81">
        <f t="shared" si="2"/>
        <v>0</v>
      </c>
      <c r="L1471" s="81">
        <f t="shared" si="3"/>
        <v>0</v>
      </c>
    </row>
    <row r="1472">
      <c r="A1472" s="82"/>
      <c r="B1472" s="82"/>
      <c r="C1472" s="66"/>
      <c r="D1472" s="66"/>
      <c r="E1472" s="66"/>
      <c r="F1472" s="66"/>
      <c r="G1472" s="66">
        <f t="shared" si="13"/>
        <v>0</v>
      </c>
      <c r="H1472" s="66"/>
      <c r="I1472" s="66"/>
      <c r="J1472" s="66"/>
      <c r="K1472" s="81">
        <f t="shared" si="2"/>
        <v>0</v>
      </c>
      <c r="L1472" s="81">
        <f t="shared" si="3"/>
        <v>0</v>
      </c>
    </row>
    <row r="1473">
      <c r="A1473" s="82"/>
      <c r="B1473" s="82"/>
      <c r="C1473" s="66"/>
      <c r="D1473" s="66"/>
      <c r="E1473" s="66"/>
      <c r="F1473" s="66"/>
      <c r="G1473" s="66">
        <f t="shared" si="13"/>
        <v>0</v>
      </c>
      <c r="H1473" s="66"/>
      <c r="I1473" s="66"/>
      <c r="J1473" s="66"/>
      <c r="K1473" s="81">
        <f t="shared" si="2"/>
        <v>0</v>
      </c>
      <c r="L1473" s="81">
        <f t="shared" si="3"/>
        <v>0</v>
      </c>
    </row>
    <row r="1474">
      <c r="A1474" s="82"/>
      <c r="B1474" s="82"/>
      <c r="C1474" s="66"/>
      <c r="D1474" s="66"/>
      <c r="E1474" s="66"/>
      <c r="F1474" s="66"/>
      <c r="G1474" s="66">
        <f t="shared" si="13"/>
        <v>0</v>
      </c>
      <c r="H1474" s="66"/>
      <c r="I1474" s="66"/>
      <c r="J1474" s="66"/>
      <c r="K1474" s="81">
        <f t="shared" si="2"/>
        <v>0</v>
      </c>
      <c r="L1474" s="81">
        <f t="shared" si="3"/>
        <v>0</v>
      </c>
    </row>
    <row r="1475">
      <c r="A1475" s="82"/>
      <c r="B1475" s="82"/>
      <c r="C1475" s="66"/>
      <c r="D1475" s="66"/>
      <c r="E1475" s="66"/>
      <c r="F1475" s="66"/>
      <c r="G1475" s="66">
        <f t="shared" si="13"/>
        <v>0</v>
      </c>
      <c r="H1475" s="66"/>
      <c r="I1475" s="66"/>
      <c r="J1475" s="66"/>
      <c r="K1475" s="81">
        <f t="shared" si="2"/>
        <v>0</v>
      </c>
      <c r="L1475" s="81">
        <f t="shared" si="3"/>
        <v>0</v>
      </c>
    </row>
    <row r="1476">
      <c r="A1476" s="82"/>
      <c r="B1476" s="82"/>
      <c r="C1476" s="66"/>
      <c r="D1476" s="66"/>
      <c r="E1476" s="66"/>
      <c r="F1476" s="66"/>
      <c r="G1476" s="66">
        <f t="shared" si="13"/>
        <v>0</v>
      </c>
      <c r="H1476" s="66"/>
      <c r="I1476" s="66"/>
      <c r="J1476" s="66"/>
      <c r="K1476" s="81">
        <f t="shared" si="2"/>
        <v>0</v>
      </c>
      <c r="L1476" s="81">
        <f t="shared" si="3"/>
        <v>0</v>
      </c>
    </row>
    <row r="1477">
      <c r="A1477" s="82"/>
      <c r="B1477" s="82"/>
      <c r="C1477" s="66"/>
      <c r="D1477" s="66"/>
      <c r="E1477" s="66"/>
      <c r="F1477" s="66"/>
      <c r="G1477" s="66">
        <f t="shared" si="13"/>
        <v>0</v>
      </c>
      <c r="H1477" s="66"/>
      <c r="I1477" s="66"/>
      <c r="J1477" s="66"/>
      <c r="K1477" s="81">
        <f t="shared" si="2"/>
        <v>0</v>
      </c>
      <c r="L1477" s="81">
        <f t="shared" si="3"/>
        <v>0</v>
      </c>
    </row>
    <row r="1478">
      <c r="A1478" s="82"/>
      <c r="B1478" s="82"/>
      <c r="C1478" s="66"/>
      <c r="D1478" s="66"/>
      <c r="E1478" s="66"/>
      <c r="F1478" s="66"/>
      <c r="G1478" s="66">
        <f t="shared" si="13"/>
        <v>0</v>
      </c>
      <c r="H1478" s="66"/>
      <c r="I1478" s="66"/>
      <c r="J1478" s="66"/>
      <c r="K1478" s="81">
        <f t="shared" si="2"/>
        <v>0</v>
      </c>
      <c r="L1478" s="81">
        <f t="shared" si="3"/>
        <v>0</v>
      </c>
    </row>
    <row r="1479">
      <c r="A1479" s="82"/>
      <c r="B1479" s="82"/>
      <c r="C1479" s="66"/>
      <c r="D1479" s="66"/>
      <c r="E1479" s="66"/>
      <c r="F1479" s="66"/>
      <c r="G1479" s="66">
        <f t="shared" si="13"/>
        <v>0</v>
      </c>
      <c r="H1479" s="66"/>
      <c r="I1479" s="66"/>
      <c r="J1479" s="66"/>
      <c r="K1479" s="81">
        <f t="shared" si="2"/>
        <v>0</v>
      </c>
      <c r="L1479" s="81">
        <f t="shared" si="3"/>
        <v>0</v>
      </c>
    </row>
    <row r="1480">
      <c r="A1480" s="82"/>
      <c r="B1480" s="82"/>
      <c r="C1480" s="66"/>
      <c r="D1480" s="66"/>
      <c r="E1480" s="66"/>
      <c r="F1480" s="66"/>
      <c r="G1480" s="66">
        <f t="shared" si="13"/>
        <v>0</v>
      </c>
      <c r="H1480" s="66"/>
      <c r="I1480" s="66"/>
      <c r="J1480" s="66"/>
      <c r="K1480" s="81">
        <f t="shared" si="2"/>
        <v>0</v>
      </c>
      <c r="L1480" s="81">
        <f t="shared" si="3"/>
        <v>0</v>
      </c>
    </row>
    <row r="1481">
      <c r="A1481" s="82"/>
      <c r="B1481" s="82"/>
      <c r="C1481" s="66"/>
      <c r="D1481" s="66"/>
      <c r="E1481" s="66"/>
      <c r="F1481" s="66"/>
      <c r="G1481" s="66">
        <f t="shared" si="13"/>
        <v>0</v>
      </c>
      <c r="H1481" s="66"/>
      <c r="I1481" s="66"/>
      <c r="J1481" s="66"/>
      <c r="K1481" s="81">
        <f t="shared" si="2"/>
        <v>0</v>
      </c>
      <c r="L1481" s="81">
        <f t="shared" si="3"/>
        <v>0</v>
      </c>
    </row>
    <row r="1482">
      <c r="A1482" s="82"/>
      <c r="B1482" s="82"/>
      <c r="C1482" s="66"/>
      <c r="D1482" s="66"/>
      <c r="E1482" s="66"/>
      <c r="F1482" s="66"/>
      <c r="G1482" s="66">
        <f t="shared" si="13"/>
        <v>0</v>
      </c>
      <c r="H1482" s="66"/>
      <c r="I1482" s="66"/>
      <c r="J1482" s="66"/>
      <c r="K1482" s="81">
        <f t="shared" si="2"/>
        <v>0</v>
      </c>
      <c r="L1482" s="81">
        <f t="shared" si="3"/>
        <v>0</v>
      </c>
    </row>
    <row r="1483">
      <c r="A1483" s="82"/>
      <c r="B1483" s="82"/>
      <c r="C1483" s="66"/>
      <c r="D1483" s="66"/>
      <c r="E1483" s="66"/>
      <c r="F1483" s="66"/>
      <c r="G1483" s="66">
        <f t="shared" si="13"/>
        <v>0</v>
      </c>
      <c r="H1483" s="66"/>
      <c r="I1483" s="66"/>
      <c r="J1483" s="66"/>
      <c r="K1483" s="81">
        <f t="shared" si="2"/>
        <v>0</v>
      </c>
      <c r="L1483" s="81">
        <f t="shared" si="3"/>
        <v>0</v>
      </c>
    </row>
    <row r="1484">
      <c r="A1484" s="82"/>
      <c r="B1484" s="82"/>
      <c r="C1484" s="66"/>
      <c r="D1484" s="66"/>
      <c r="E1484" s="66"/>
      <c r="F1484" s="66"/>
      <c r="G1484" s="66">
        <f t="shared" si="13"/>
        <v>0</v>
      </c>
      <c r="H1484" s="66"/>
      <c r="I1484" s="66"/>
      <c r="J1484" s="66"/>
      <c r="K1484" s="81">
        <f t="shared" si="2"/>
        <v>0</v>
      </c>
      <c r="L1484" s="81">
        <f t="shared" si="3"/>
        <v>0</v>
      </c>
    </row>
    <row r="1485">
      <c r="A1485" s="82"/>
      <c r="B1485" s="82"/>
      <c r="C1485" s="66"/>
      <c r="D1485" s="66"/>
      <c r="E1485" s="66"/>
      <c r="F1485" s="66"/>
      <c r="G1485" s="66">
        <f t="shared" si="13"/>
        <v>0</v>
      </c>
      <c r="H1485" s="66"/>
      <c r="I1485" s="66"/>
      <c r="J1485" s="66"/>
      <c r="K1485" s="81">
        <f t="shared" si="2"/>
        <v>0</v>
      </c>
      <c r="L1485" s="81">
        <f t="shared" si="3"/>
        <v>0</v>
      </c>
    </row>
    <row r="1486">
      <c r="A1486" s="82"/>
      <c r="B1486" s="82"/>
      <c r="C1486" s="66"/>
      <c r="D1486" s="66"/>
      <c r="E1486" s="66"/>
      <c r="F1486" s="66"/>
      <c r="G1486" s="66">
        <f t="shared" si="13"/>
        <v>0</v>
      </c>
      <c r="H1486" s="66"/>
      <c r="I1486" s="66"/>
      <c r="J1486" s="66"/>
      <c r="K1486" s="81">
        <f t="shared" si="2"/>
        <v>0</v>
      </c>
      <c r="L1486" s="81">
        <f t="shared" si="3"/>
        <v>0</v>
      </c>
    </row>
    <row r="1487">
      <c r="A1487" s="82"/>
      <c r="B1487" s="82"/>
      <c r="C1487" s="66"/>
      <c r="D1487" s="66"/>
      <c r="E1487" s="66"/>
      <c r="F1487" s="66"/>
      <c r="G1487" s="66">
        <f t="shared" si="13"/>
        <v>0</v>
      </c>
      <c r="H1487" s="66"/>
      <c r="I1487" s="66"/>
      <c r="J1487" s="66"/>
      <c r="K1487" s="81">
        <f t="shared" si="2"/>
        <v>0</v>
      </c>
      <c r="L1487" s="81">
        <f t="shared" si="3"/>
        <v>0</v>
      </c>
    </row>
    <row r="1488">
      <c r="A1488" s="82"/>
      <c r="B1488" s="82"/>
      <c r="C1488" s="66"/>
      <c r="D1488" s="66"/>
      <c r="E1488" s="66"/>
      <c r="F1488" s="66"/>
      <c r="G1488" s="66">
        <f t="shared" si="13"/>
        <v>0</v>
      </c>
      <c r="H1488" s="66"/>
      <c r="I1488" s="66"/>
      <c r="J1488" s="66"/>
      <c r="K1488" s="81">
        <f t="shared" si="2"/>
        <v>0</v>
      </c>
      <c r="L1488" s="81">
        <f t="shared" si="3"/>
        <v>0</v>
      </c>
    </row>
    <row r="1489">
      <c r="A1489" s="82"/>
      <c r="B1489" s="82"/>
      <c r="C1489" s="66"/>
      <c r="D1489" s="66"/>
      <c r="E1489" s="66"/>
      <c r="F1489" s="66"/>
      <c r="G1489" s="66">
        <f t="shared" si="13"/>
        <v>0</v>
      </c>
      <c r="H1489" s="66"/>
      <c r="I1489" s="66"/>
      <c r="J1489" s="66"/>
      <c r="K1489" s="81">
        <f t="shared" si="2"/>
        <v>0</v>
      </c>
      <c r="L1489" s="81">
        <f t="shared" si="3"/>
        <v>0</v>
      </c>
    </row>
    <row r="1490">
      <c r="A1490" s="82"/>
      <c r="B1490" s="82"/>
      <c r="C1490" s="66"/>
      <c r="D1490" s="66"/>
      <c r="E1490" s="66"/>
      <c r="F1490" s="66"/>
      <c r="G1490" s="66">
        <f t="shared" si="13"/>
        <v>0</v>
      </c>
      <c r="H1490" s="66"/>
      <c r="I1490" s="66"/>
      <c r="J1490" s="66"/>
      <c r="K1490" s="81">
        <f t="shared" si="2"/>
        <v>0</v>
      </c>
      <c r="L1490" s="81">
        <f t="shared" si="3"/>
        <v>0</v>
      </c>
    </row>
    <row r="1491">
      <c r="A1491" s="82"/>
      <c r="B1491" s="82"/>
      <c r="C1491" s="66"/>
      <c r="D1491" s="66"/>
      <c r="E1491" s="66"/>
      <c r="F1491" s="66"/>
      <c r="G1491" s="66">
        <f t="shared" si="13"/>
        <v>0</v>
      </c>
      <c r="H1491" s="66"/>
      <c r="I1491" s="66"/>
      <c r="J1491" s="66"/>
      <c r="K1491" s="81">
        <f t="shared" si="2"/>
        <v>0</v>
      </c>
      <c r="L1491" s="81">
        <f t="shared" si="3"/>
        <v>0</v>
      </c>
    </row>
    <row r="1492">
      <c r="A1492" s="82"/>
      <c r="B1492" s="82"/>
      <c r="C1492" s="66"/>
      <c r="D1492" s="66"/>
      <c r="E1492" s="66"/>
      <c r="F1492" s="66"/>
      <c r="G1492" s="66">
        <f t="shared" si="13"/>
        <v>0</v>
      </c>
      <c r="H1492" s="66"/>
      <c r="I1492" s="66"/>
      <c r="J1492" s="66"/>
      <c r="K1492" s="81">
        <f t="shared" si="2"/>
        <v>0</v>
      </c>
      <c r="L1492" s="81">
        <f t="shared" si="3"/>
        <v>0</v>
      </c>
    </row>
    <row r="1493">
      <c r="A1493" s="82"/>
      <c r="B1493" s="82"/>
      <c r="C1493" s="66"/>
      <c r="D1493" s="66"/>
      <c r="E1493" s="66"/>
      <c r="F1493" s="66"/>
      <c r="G1493" s="66">
        <f t="shared" si="13"/>
        <v>0</v>
      </c>
      <c r="H1493" s="66"/>
      <c r="I1493" s="66"/>
      <c r="J1493" s="66"/>
      <c r="K1493" s="81">
        <f t="shared" si="2"/>
        <v>0</v>
      </c>
      <c r="L1493" s="81">
        <f t="shared" si="3"/>
        <v>0</v>
      </c>
    </row>
    <row r="1494">
      <c r="A1494" s="82"/>
      <c r="B1494" s="82"/>
      <c r="C1494" s="66"/>
      <c r="D1494" s="66"/>
      <c r="E1494" s="66"/>
      <c r="F1494" s="66"/>
      <c r="G1494" s="66">
        <f t="shared" si="13"/>
        <v>0</v>
      </c>
      <c r="H1494" s="66"/>
      <c r="I1494" s="66"/>
      <c r="J1494" s="66"/>
      <c r="K1494" s="81">
        <f t="shared" si="2"/>
        <v>0</v>
      </c>
      <c r="L1494" s="81">
        <f t="shared" si="3"/>
        <v>0</v>
      </c>
    </row>
    <row r="1495">
      <c r="A1495" s="82"/>
      <c r="B1495" s="82"/>
      <c r="C1495" s="66"/>
      <c r="D1495" s="66"/>
      <c r="E1495" s="66"/>
      <c r="F1495" s="66"/>
      <c r="G1495" s="66">
        <f t="shared" si="13"/>
        <v>0</v>
      </c>
      <c r="H1495" s="66"/>
      <c r="I1495" s="66"/>
      <c r="J1495" s="66"/>
      <c r="K1495" s="81">
        <f t="shared" si="2"/>
        <v>0</v>
      </c>
      <c r="L1495" s="81">
        <f t="shared" si="3"/>
        <v>0</v>
      </c>
    </row>
    <row r="1496">
      <c r="A1496" s="82"/>
      <c r="B1496" s="82"/>
      <c r="C1496" s="66"/>
      <c r="D1496" s="66"/>
      <c r="E1496" s="66"/>
      <c r="F1496" s="66"/>
      <c r="G1496" s="66">
        <f t="shared" si="13"/>
        <v>0</v>
      </c>
      <c r="H1496" s="66"/>
      <c r="I1496" s="66"/>
      <c r="J1496" s="66"/>
      <c r="K1496" s="81">
        <f t="shared" si="2"/>
        <v>0</v>
      </c>
      <c r="L1496" s="81">
        <f t="shared" si="3"/>
        <v>0</v>
      </c>
    </row>
    <row r="1497">
      <c r="A1497" s="82"/>
      <c r="B1497" s="82"/>
      <c r="C1497" s="66"/>
      <c r="D1497" s="66"/>
      <c r="E1497" s="66"/>
      <c r="F1497" s="66"/>
      <c r="G1497" s="66">
        <f t="shared" si="13"/>
        <v>0</v>
      </c>
      <c r="H1497" s="66"/>
      <c r="I1497" s="66"/>
      <c r="J1497" s="66"/>
      <c r="K1497" s="81">
        <f t="shared" si="2"/>
        <v>0</v>
      </c>
      <c r="L1497" s="81">
        <f t="shared" si="3"/>
        <v>0</v>
      </c>
    </row>
    <row r="1498">
      <c r="A1498" s="82"/>
      <c r="B1498" s="82"/>
      <c r="C1498" s="66"/>
      <c r="D1498" s="66"/>
      <c r="E1498" s="66"/>
      <c r="F1498" s="66"/>
      <c r="G1498" s="66">
        <f t="shared" si="13"/>
        <v>0</v>
      </c>
      <c r="H1498" s="66"/>
      <c r="I1498" s="66"/>
      <c r="J1498" s="66"/>
      <c r="K1498" s="81">
        <f t="shared" si="2"/>
        <v>0</v>
      </c>
      <c r="L1498" s="81">
        <f t="shared" si="3"/>
        <v>0</v>
      </c>
    </row>
    <row r="1499">
      <c r="A1499" s="82"/>
      <c r="B1499" s="82"/>
      <c r="C1499" s="66"/>
      <c r="D1499" s="66"/>
      <c r="E1499" s="66"/>
      <c r="F1499" s="66"/>
      <c r="G1499" s="66">
        <f t="shared" si="13"/>
        <v>0</v>
      </c>
      <c r="H1499" s="66"/>
      <c r="I1499" s="66"/>
      <c r="J1499" s="66"/>
      <c r="K1499" s="81">
        <f t="shared" si="2"/>
        <v>0</v>
      </c>
      <c r="L1499" s="81">
        <f t="shared" si="3"/>
        <v>0</v>
      </c>
    </row>
    <row r="1500">
      <c r="A1500" s="82"/>
      <c r="B1500" s="82"/>
      <c r="C1500" s="66"/>
      <c r="D1500" s="66"/>
      <c r="E1500" s="66"/>
      <c r="F1500" s="66"/>
      <c r="G1500" s="66">
        <f t="shared" si="13"/>
        <v>0</v>
      </c>
      <c r="H1500" s="66"/>
      <c r="I1500" s="66"/>
      <c r="J1500" s="66"/>
      <c r="K1500" s="81">
        <f t="shared" si="2"/>
        <v>0</v>
      </c>
      <c r="L1500" s="81">
        <f t="shared" si="3"/>
        <v>0</v>
      </c>
    </row>
    <row r="1501">
      <c r="A1501" s="82"/>
      <c r="B1501" s="82"/>
      <c r="C1501" s="66"/>
      <c r="D1501" s="66"/>
      <c r="E1501" s="66"/>
      <c r="F1501" s="66"/>
      <c r="G1501" s="66">
        <f t="shared" si="13"/>
        <v>0</v>
      </c>
      <c r="H1501" s="66"/>
      <c r="I1501" s="66"/>
      <c r="J1501" s="66"/>
      <c r="K1501" s="81">
        <f t="shared" si="2"/>
        <v>0</v>
      </c>
      <c r="L1501" s="81">
        <f t="shared" si="3"/>
        <v>0</v>
      </c>
    </row>
    <row r="1502">
      <c r="A1502" s="82"/>
      <c r="B1502" s="82"/>
      <c r="C1502" s="66"/>
      <c r="D1502" s="66"/>
      <c r="E1502" s="66"/>
      <c r="F1502" s="66"/>
      <c r="G1502" s="66">
        <f t="shared" si="13"/>
        <v>0</v>
      </c>
      <c r="H1502" s="66"/>
      <c r="I1502" s="66"/>
      <c r="J1502" s="66"/>
      <c r="K1502" s="81">
        <f t="shared" si="2"/>
        <v>0</v>
      </c>
      <c r="L1502" s="81">
        <f t="shared" si="3"/>
        <v>0</v>
      </c>
    </row>
    <row r="1503">
      <c r="A1503" s="82"/>
      <c r="B1503" s="82"/>
      <c r="C1503" s="66"/>
      <c r="D1503" s="66"/>
      <c r="E1503" s="66"/>
      <c r="F1503" s="66"/>
      <c r="G1503" s="66">
        <f t="shared" si="13"/>
        <v>0</v>
      </c>
      <c r="H1503" s="66"/>
      <c r="I1503" s="66"/>
      <c r="J1503" s="66"/>
      <c r="K1503" s="81">
        <f t="shared" si="2"/>
        <v>0</v>
      </c>
      <c r="L1503" s="81">
        <f t="shared" si="3"/>
        <v>0</v>
      </c>
    </row>
    <row r="1504">
      <c r="A1504" s="82"/>
      <c r="B1504" s="82"/>
      <c r="C1504" s="66"/>
      <c r="D1504" s="66"/>
      <c r="E1504" s="66"/>
      <c r="F1504" s="66"/>
      <c r="G1504" s="66">
        <f t="shared" si="13"/>
        <v>0</v>
      </c>
      <c r="H1504" s="66"/>
      <c r="I1504" s="66"/>
      <c r="J1504" s="66"/>
      <c r="K1504" s="81">
        <f t="shared" si="2"/>
        <v>0</v>
      </c>
      <c r="L1504" s="81">
        <f t="shared" si="3"/>
        <v>0</v>
      </c>
    </row>
    <row r="1505">
      <c r="A1505" s="82"/>
      <c r="B1505" s="82"/>
      <c r="C1505" s="66"/>
      <c r="D1505" s="66"/>
      <c r="E1505" s="66"/>
      <c r="F1505" s="66"/>
      <c r="G1505" s="66">
        <f t="shared" si="13"/>
        <v>0</v>
      </c>
      <c r="H1505" s="66"/>
      <c r="I1505" s="66"/>
      <c r="J1505" s="66"/>
      <c r="K1505" s="81">
        <f t="shared" si="2"/>
        <v>0</v>
      </c>
      <c r="L1505" s="81">
        <f t="shared" si="3"/>
        <v>0</v>
      </c>
    </row>
    <row r="1506">
      <c r="A1506" s="82"/>
      <c r="B1506" s="82"/>
      <c r="C1506" s="66"/>
      <c r="D1506" s="66"/>
      <c r="E1506" s="66"/>
      <c r="F1506" s="66"/>
      <c r="G1506" s="66">
        <f t="shared" si="13"/>
        <v>0</v>
      </c>
      <c r="H1506" s="66"/>
      <c r="I1506" s="66"/>
      <c r="J1506" s="66"/>
      <c r="K1506" s="81">
        <f t="shared" si="2"/>
        <v>0</v>
      </c>
      <c r="L1506" s="81">
        <f t="shared" si="3"/>
        <v>0</v>
      </c>
    </row>
    <row r="1507">
      <c r="A1507" s="82"/>
      <c r="B1507" s="82"/>
      <c r="C1507" s="66"/>
      <c r="D1507" s="66"/>
      <c r="E1507" s="66"/>
      <c r="F1507" s="66"/>
      <c r="G1507" s="66">
        <f t="shared" si="13"/>
        <v>0</v>
      </c>
      <c r="H1507" s="66"/>
      <c r="I1507" s="66"/>
      <c r="J1507" s="66"/>
      <c r="K1507" s="81">
        <f t="shared" si="2"/>
        <v>0</v>
      </c>
      <c r="L1507" s="81">
        <f t="shared" si="3"/>
        <v>0</v>
      </c>
    </row>
    <row r="1508">
      <c r="A1508" s="82"/>
      <c r="B1508" s="82"/>
      <c r="C1508" s="66"/>
      <c r="D1508" s="66"/>
      <c r="E1508" s="66"/>
      <c r="F1508" s="66"/>
      <c r="G1508" s="66">
        <f t="shared" si="13"/>
        <v>0</v>
      </c>
      <c r="H1508" s="66"/>
      <c r="I1508" s="66"/>
      <c r="J1508" s="66"/>
      <c r="K1508" s="81">
        <f t="shared" si="2"/>
        <v>0</v>
      </c>
      <c r="L1508" s="81">
        <f t="shared" si="3"/>
        <v>0</v>
      </c>
    </row>
    <row r="1509">
      <c r="A1509" s="82"/>
      <c r="B1509" s="82"/>
      <c r="C1509" s="66"/>
      <c r="D1509" s="66"/>
      <c r="E1509" s="66"/>
      <c r="F1509" s="66"/>
      <c r="G1509" s="66">
        <f t="shared" si="13"/>
        <v>0</v>
      </c>
      <c r="H1509" s="66"/>
      <c r="I1509" s="66"/>
      <c r="J1509" s="66"/>
      <c r="K1509" s="81">
        <f t="shared" si="2"/>
        <v>0</v>
      </c>
      <c r="L1509" s="81">
        <f t="shared" si="3"/>
        <v>0</v>
      </c>
    </row>
    <row r="1510">
      <c r="A1510" s="82"/>
      <c r="B1510" s="82"/>
      <c r="C1510" s="66"/>
      <c r="D1510" s="66"/>
      <c r="E1510" s="66"/>
      <c r="F1510" s="66"/>
      <c r="G1510" s="66">
        <f t="shared" si="13"/>
        <v>0</v>
      </c>
      <c r="H1510" s="66"/>
      <c r="I1510" s="66"/>
      <c r="J1510" s="66"/>
      <c r="K1510" s="81">
        <f t="shared" si="2"/>
        <v>0</v>
      </c>
      <c r="L1510" s="81">
        <f t="shared" si="3"/>
        <v>0</v>
      </c>
    </row>
    <row r="1511">
      <c r="A1511" s="82"/>
      <c r="B1511" s="82"/>
      <c r="C1511" s="66"/>
      <c r="D1511" s="66"/>
      <c r="E1511" s="66"/>
      <c r="F1511" s="66"/>
      <c r="G1511" s="66">
        <f t="shared" si="13"/>
        <v>0</v>
      </c>
      <c r="H1511" s="66"/>
      <c r="I1511" s="66"/>
      <c r="J1511" s="66"/>
      <c r="K1511" s="81">
        <f t="shared" si="2"/>
        <v>0</v>
      </c>
      <c r="L1511" s="81">
        <f t="shared" si="3"/>
        <v>0</v>
      </c>
    </row>
    <row r="1512">
      <c r="A1512" s="82"/>
      <c r="B1512" s="82"/>
      <c r="C1512" s="66"/>
      <c r="D1512" s="66"/>
      <c r="E1512" s="66"/>
      <c r="F1512" s="66"/>
      <c r="G1512" s="66">
        <f t="shared" si="13"/>
        <v>0</v>
      </c>
      <c r="H1512" s="66"/>
      <c r="I1512" s="66"/>
      <c r="J1512" s="66"/>
      <c r="K1512" s="81">
        <f t="shared" si="2"/>
        <v>0</v>
      </c>
      <c r="L1512" s="81">
        <f t="shared" si="3"/>
        <v>0</v>
      </c>
    </row>
    <row r="1513">
      <c r="A1513" s="82"/>
      <c r="B1513" s="82"/>
      <c r="C1513" s="66"/>
      <c r="D1513" s="66"/>
      <c r="E1513" s="66"/>
      <c r="F1513" s="66"/>
      <c r="G1513" s="66">
        <f t="shared" si="13"/>
        <v>0</v>
      </c>
      <c r="H1513" s="66"/>
      <c r="I1513" s="66"/>
      <c r="J1513" s="66"/>
      <c r="K1513" s="81">
        <f t="shared" si="2"/>
        <v>0</v>
      </c>
      <c r="L1513" s="81">
        <f t="shared" si="3"/>
        <v>0</v>
      </c>
    </row>
    <row r="1514">
      <c r="A1514" s="82"/>
      <c r="B1514" s="82"/>
      <c r="C1514" s="66"/>
      <c r="D1514" s="66"/>
      <c r="E1514" s="66"/>
      <c r="F1514" s="66"/>
      <c r="G1514" s="66">
        <f t="shared" si="13"/>
        <v>0</v>
      </c>
      <c r="H1514" s="66"/>
      <c r="I1514" s="66"/>
      <c r="J1514" s="66"/>
      <c r="K1514" s="81">
        <f t="shared" si="2"/>
        <v>0</v>
      </c>
      <c r="L1514" s="81">
        <f t="shared" si="3"/>
        <v>0</v>
      </c>
    </row>
    <row r="1515">
      <c r="A1515" s="82"/>
      <c r="B1515" s="82"/>
      <c r="C1515" s="66"/>
      <c r="D1515" s="66"/>
      <c r="E1515" s="66"/>
      <c r="F1515" s="66"/>
      <c r="G1515" s="66">
        <f t="shared" si="13"/>
        <v>0</v>
      </c>
      <c r="H1515" s="66"/>
      <c r="I1515" s="66"/>
      <c r="J1515" s="66"/>
      <c r="K1515" s="81">
        <f t="shared" si="2"/>
        <v>0</v>
      </c>
      <c r="L1515" s="81">
        <f t="shared" si="3"/>
        <v>0</v>
      </c>
    </row>
    <row r="1516">
      <c r="A1516" s="82"/>
      <c r="B1516" s="82"/>
      <c r="C1516" s="66"/>
      <c r="D1516" s="66"/>
      <c r="E1516" s="66"/>
      <c r="F1516" s="66"/>
      <c r="G1516" s="66">
        <f t="shared" si="13"/>
        <v>0</v>
      </c>
      <c r="H1516" s="66"/>
      <c r="I1516" s="66"/>
      <c r="J1516" s="66"/>
      <c r="K1516" s="81">
        <f t="shared" si="2"/>
        <v>0</v>
      </c>
      <c r="L1516" s="81">
        <f t="shared" si="3"/>
        <v>0</v>
      </c>
    </row>
    <row r="1517">
      <c r="A1517" s="82"/>
      <c r="B1517" s="82"/>
      <c r="C1517" s="66"/>
      <c r="D1517" s="66"/>
      <c r="E1517" s="66"/>
      <c r="F1517" s="66"/>
      <c r="G1517" s="66">
        <f t="shared" si="13"/>
        <v>0</v>
      </c>
      <c r="H1517" s="66"/>
      <c r="I1517" s="66"/>
      <c r="J1517" s="66"/>
      <c r="K1517" s="81">
        <f t="shared" si="2"/>
        <v>0</v>
      </c>
      <c r="L1517" s="81">
        <f t="shared" si="3"/>
        <v>0</v>
      </c>
    </row>
    <row r="1518">
      <c r="A1518" s="82"/>
      <c r="B1518" s="82"/>
      <c r="C1518" s="66"/>
      <c r="D1518" s="66"/>
      <c r="E1518" s="66"/>
      <c r="F1518" s="66"/>
      <c r="G1518" s="66">
        <f t="shared" si="13"/>
        <v>0</v>
      </c>
      <c r="H1518" s="66"/>
      <c r="I1518" s="66"/>
      <c r="J1518" s="66"/>
      <c r="K1518" s="81">
        <f t="shared" si="2"/>
        <v>0</v>
      </c>
      <c r="L1518" s="81">
        <f t="shared" si="3"/>
        <v>0</v>
      </c>
    </row>
    <row r="1519">
      <c r="A1519" s="82"/>
      <c r="B1519" s="82"/>
      <c r="C1519" s="66"/>
      <c r="D1519" s="66"/>
      <c r="E1519" s="66"/>
      <c r="F1519" s="66"/>
      <c r="G1519" s="66">
        <f t="shared" si="13"/>
        <v>0</v>
      </c>
      <c r="H1519" s="66"/>
      <c r="I1519" s="66"/>
      <c r="J1519" s="66"/>
      <c r="K1519" s="81">
        <f t="shared" si="2"/>
        <v>0</v>
      </c>
      <c r="L1519" s="81">
        <f t="shared" si="3"/>
        <v>0</v>
      </c>
    </row>
    <row r="1520">
      <c r="A1520" s="82"/>
      <c r="B1520" s="82"/>
      <c r="C1520" s="66"/>
      <c r="D1520" s="66"/>
      <c r="E1520" s="66"/>
      <c r="F1520" s="66"/>
      <c r="G1520" s="66">
        <f t="shared" si="13"/>
        <v>0</v>
      </c>
      <c r="H1520" s="66"/>
      <c r="I1520" s="66"/>
      <c r="J1520" s="66"/>
      <c r="K1520" s="81">
        <f t="shared" si="2"/>
        <v>0</v>
      </c>
      <c r="L1520" s="81">
        <f t="shared" si="3"/>
        <v>0</v>
      </c>
    </row>
    <row r="1521">
      <c r="A1521" s="82"/>
      <c r="B1521" s="82"/>
      <c r="C1521" s="66"/>
      <c r="D1521" s="66"/>
      <c r="E1521" s="66"/>
      <c r="F1521" s="66"/>
      <c r="G1521" s="66">
        <f t="shared" si="13"/>
        <v>0</v>
      </c>
      <c r="H1521" s="66"/>
      <c r="I1521" s="66"/>
      <c r="J1521" s="66"/>
      <c r="K1521" s="81">
        <f t="shared" si="2"/>
        <v>0</v>
      </c>
      <c r="L1521" s="81">
        <f t="shared" si="3"/>
        <v>0</v>
      </c>
    </row>
    <row r="1522">
      <c r="A1522" s="82"/>
      <c r="B1522" s="82"/>
      <c r="C1522" s="66"/>
      <c r="D1522" s="66"/>
      <c r="E1522" s="66"/>
      <c r="F1522" s="66"/>
      <c r="G1522" s="66">
        <f t="shared" si="13"/>
        <v>0</v>
      </c>
      <c r="H1522" s="66"/>
      <c r="I1522" s="66"/>
      <c r="J1522" s="66"/>
      <c r="K1522" s="81">
        <f t="shared" si="2"/>
        <v>0</v>
      </c>
      <c r="L1522" s="81">
        <f t="shared" si="3"/>
        <v>0</v>
      </c>
    </row>
    <row r="1523">
      <c r="A1523" s="82"/>
      <c r="B1523" s="82"/>
      <c r="C1523" s="66"/>
      <c r="D1523" s="66"/>
      <c r="E1523" s="66"/>
      <c r="F1523" s="66"/>
      <c r="G1523" s="66">
        <f t="shared" si="13"/>
        <v>0</v>
      </c>
      <c r="H1523" s="66"/>
      <c r="I1523" s="66"/>
      <c r="J1523" s="66"/>
      <c r="K1523" s="81">
        <f t="shared" si="2"/>
        <v>0</v>
      </c>
      <c r="L1523" s="81">
        <f t="shared" si="3"/>
        <v>0</v>
      </c>
    </row>
    <row r="1524">
      <c r="A1524" s="82"/>
      <c r="B1524" s="82"/>
      <c r="C1524" s="66"/>
      <c r="D1524" s="66"/>
      <c r="E1524" s="66"/>
      <c r="F1524" s="66"/>
      <c r="G1524" s="66">
        <f t="shared" si="13"/>
        <v>0</v>
      </c>
      <c r="H1524" s="66"/>
      <c r="I1524" s="66"/>
      <c r="J1524" s="66"/>
      <c r="K1524" s="81">
        <f t="shared" si="2"/>
        <v>0</v>
      </c>
      <c r="L1524" s="81">
        <f t="shared" si="3"/>
        <v>0</v>
      </c>
    </row>
    <row r="1525">
      <c r="A1525" s="82"/>
      <c r="B1525" s="82"/>
      <c r="C1525" s="66"/>
      <c r="D1525" s="66"/>
      <c r="E1525" s="66"/>
      <c r="F1525" s="66"/>
      <c r="G1525" s="66">
        <f t="shared" si="13"/>
        <v>0</v>
      </c>
      <c r="H1525" s="66"/>
      <c r="I1525" s="66"/>
      <c r="J1525" s="66"/>
      <c r="L1525" s="81">
        <f t="shared" si="3"/>
        <v>0</v>
      </c>
    </row>
    <row r="1526">
      <c r="A1526" s="82"/>
      <c r="B1526" s="82"/>
      <c r="C1526" s="66"/>
      <c r="D1526" s="66"/>
      <c r="E1526" s="66"/>
      <c r="F1526" s="66"/>
      <c r="G1526" s="66">
        <f t="shared" si="13"/>
        <v>0</v>
      </c>
      <c r="H1526" s="66"/>
      <c r="I1526" s="66"/>
      <c r="J1526" s="66"/>
      <c r="L1526" s="81">
        <f t="shared" si="3"/>
        <v>0</v>
      </c>
    </row>
    <row r="1527">
      <c r="A1527" s="82"/>
      <c r="B1527" s="82"/>
      <c r="C1527" s="66"/>
      <c r="D1527" s="66"/>
      <c r="E1527" s="66"/>
      <c r="F1527" s="66"/>
      <c r="G1527" s="66"/>
      <c r="H1527" s="66"/>
      <c r="I1527" s="66"/>
      <c r="J1527" s="66"/>
      <c r="L1527" s="81">
        <f t="shared" si="3"/>
        <v>0</v>
      </c>
    </row>
    <row r="1528">
      <c r="A1528" s="82"/>
      <c r="B1528" s="82"/>
      <c r="C1528" s="66"/>
      <c r="D1528" s="66"/>
      <c r="E1528" s="66"/>
      <c r="F1528" s="66"/>
      <c r="G1528" s="66"/>
      <c r="H1528" s="66"/>
      <c r="I1528" s="66"/>
      <c r="J1528" s="66"/>
      <c r="L1528" s="81">
        <f t="shared" si="3"/>
        <v>0</v>
      </c>
    </row>
    <row r="1529">
      <c r="A1529" s="82"/>
      <c r="B1529" s="82"/>
      <c r="C1529" s="66"/>
      <c r="D1529" s="66"/>
      <c r="E1529" s="66"/>
      <c r="F1529" s="66"/>
      <c r="G1529" s="66"/>
      <c r="H1529" s="66"/>
      <c r="I1529" s="66"/>
      <c r="J1529" s="66"/>
      <c r="L1529" s="81">
        <f t="shared" si="3"/>
        <v>0</v>
      </c>
    </row>
    <row r="1530">
      <c r="A1530" s="82"/>
      <c r="B1530" s="82"/>
      <c r="C1530" s="66"/>
      <c r="D1530" s="66"/>
      <c r="E1530" s="66"/>
      <c r="F1530" s="66"/>
      <c r="G1530" s="66"/>
      <c r="H1530" s="66"/>
      <c r="I1530" s="66"/>
      <c r="J1530" s="66"/>
      <c r="L1530" s="81">
        <f t="shared" si="3"/>
        <v>0</v>
      </c>
    </row>
    <row r="1531">
      <c r="A1531" s="82"/>
      <c r="B1531" s="82"/>
      <c r="C1531" s="66"/>
      <c r="D1531" s="66"/>
      <c r="E1531" s="66"/>
      <c r="F1531" s="66"/>
      <c r="G1531" s="66"/>
      <c r="H1531" s="66"/>
      <c r="I1531" s="66"/>
      <c r="J1531" s="66"/>
      <c r="L1531" s="81">
        <f t="shared" si="3"/>
        <v>0</v>
      </c>
    </row>
    <row r="1532">
      <c r="A1532" s="82"/>
      <c r="B1532" s="82"/>
      <c r="C1532" s="66"/>
      <c r="D1532" s="66"/>
      <c r="E1532" s="66"/>
      <c r="F1532" s="66"/>
      <c r="G1532" s="66"/>
      <c r="H1532" s="66"/>
      <c r="I1532" s="66"/>
      <c r="J1532" s="66"/>
    </row>
    <row r="1533">
      <c r="A1533" s="82"/>
      <c r="B1533" s="82"/>
      <c r="C1533" s="66"/>
      <c r="D1533" s="66"/>
      <c r="E1533" s="66"/>
      <c r="F1533" s="66"/>
      <c r="G1533" s="66"/>
      <c r="H1533" s="66"/>
      <c r="I1533" s="66"/>
      <c r="J1533" s="66"/>
    </row>
    <row r="1534">
      <c r="A1534" s="82"/>
      <c r="B1534" s="82"/>
      <c r="C1534" s="66"/>
      <c r="D1534" s="66"/>
      <c r="E1534" s="66"/>
      <c r="F1534" s="66"/>
      <c r="G1534" s="66"/>
      <c r="H1534" s="66"/>
      <c r="I1534" s="66"/>
      <c r="J1534" s="66"/>
    </row>
    <row r="1535">
      <c r="A1535" s="82"/>
      <c r="B1535" s="82"/>
      <c r="C1535" s="66"/>
      <c r="D1535" s="66"/>
      <c r="E1535" s="66"/>
      <c r="F1535" s="66"/>
      <c r="G1535" s="66"/>
      <c r="H1535" s="66"/>
      <c r="I1535" s="66"/>
      <c r="J1535" s="66"/>
    </row>
    <row r="1536">
      <c r="A1536" s="82"/>
      <c r="B1536" s="82"/>
      <c r="C1536" s="66"/>
      <c r="D1536" s="66"/>
      <c r="E1536" s="66"/>
      <c r="F1536" s="66"/>
      <c r="G1536" s="66"/>
      <c r="H1536" s="66"/>
      <c r="I1536" s="66"/>
      <c r="J1536" s="66"/>
    </row>
    <row r="1537">
      <c r="A1537" s="82"/>
      <c r="B1537" s="82"/>
      <c r="C1537" s="66"/>
      <c r="D1537" s="66"/>
      <c r="E1537" s="66"/>
      <c r="F1537" s="66"/>
      <c r="G1537" s="66"/>
      <c r="H1537" s="66"/>
      <c r="I1537" s="66"/>
      <c r="J1537" s="66"/>
    </row>
    <row r="1538">
      <c r="A1538" s="82"/>
      <c r="B1538" s="82"/>
      <c r="C1538" s="66"/>
      <c r="D1538" s="66"/>
      <c r="E1538" s="66"/>
      <c r="F1538" s="66"/>
      <c r="G1538" s="66"/>
      <c r="H1538" s="66"/>
      <c r="I1538" s="66"/>
      <c r="J1538" s="66"/>
    </row>
    <row r="1539">
      <c r="A1539" s="82"/>
      <c r="B1539" s="82"/>
      <c r="C1539" s="66"/>
      <c r="D1539" s="66"/>
      <c r="E1539" s="66"/>
      <c r="F1539" s="66"/>
      <c r="G1539" s="66"/>
      <c r="H1539" s="66"/>
      <c r="I1539" s="66"/>
      <c r="J1539" s="66"/>
    </row>
    <row r="1540">
      <c r="A1540" s="82"/>
      <c r="B1540" s="82"/>
      <c r="C1540" s="66"/>
      <c r="D1540" s="66"/>
      <c r="E1540" s="66"/>
      <c r="F1540" s="66"/>
      <c r="G1540" s="66"/>
      <c r="H1540" s="66"/>
      <c r="I1540" s="66"/>
      <c r="J1540" s="66"/>
    </row>
    <row r="1541">
      <c r="A1541" s="82"/>
      <c r="B1541" s="82"/>
      <c r="C1541" s="66"/>
      <c r="D1541" s="66"/>
      <c r="E1541" s="66"/>
      <c r="F1541" s="66"/>
      <c r="G1541" s="66"/>
      <c r="H1541" s="66"/>
      <c r="I1541" s="66"/>
      <c r="J1541" s="66"/>
    </row>
    <row r="1542">
      <c r="A1542" s="82"/>
      <c r="B1542" s="82"/>
      <c r="C1542" s="66"/>
      <c r="D1542" s="66"/>
      <c r="E1542" s="66"/>
      <c r="F1542" s="66"/>
      <c r="G1542" s="66"/>
      <c r="H1542" s="66"/>
      <c r="I1542" s="66"/>
      <c r="J1542" s="66"/>
    </row>
    <row r="1543">
      <c r="A1543" s="82"/>
      <c r="B1543" s="82"/>
      <c r="C1543" s="66"/>
      <c r="D1543" s="66"/>
      <c r="E1543" s="66"/>
      <c r="F1543" s="66"/>
      <c r="G1543" s="66"/>
      <c r="H1543" s="66"/>
      <c r="I1543" s="66"/>
      <c r="J1543" s="66"/>
    </row>
    <row r="1544">
      <c r="A1544" s="82"/>
      <c r="B1544" s="82"/>
      <c r="C1544" s="66"/>
      <c r="D1544" s="66"/>
      <c r="E1544" s="66"/>
      <c r="F1544" s="66"/>
      <c r="G1544" s="66"/>
      <c r="H1544" s="66"/>
      <c r="I1544" s="66"/>
      <c r="J1544" s="66"/>
    </row>
    <row r="1545">
      <c r="A1545" s="82"/>
      <c r="B1545" s="82"/>
      <c r="C1545" s="66"/>
      <c r="D1545" s="66"/>
      <c r="E1545" s="66"/>
      <c r="F1545" s="66"/>
      <c r="G1545" s="66"/>
      <c r="H1545" s="66"/>
      <c r="I1545" s="66"/>
      <c r="J1545" s="66"/>
    </row>
    <row r="1546">
      <c r="A1546" s="82"/>
      <c r="B1546" s="82"/>
      <c r="C1546" s="66"/>
      <c r="D1546" s="66"/>
      <c r="E1546" s="66"/>
      <c r="F1546" s="66"/>
      <c r="G1546" s="66"/>
      <c r="H1546" s="66"/>
      <c r="I1546" s="66"/>
      <c r="J1546" s="66"/>
    </row>
    <row r="1547">
      <c r="A1547" s="82"/>
      <c r="B1547" s="82"/>
      <c r="C1547" s="66"/>
      <c r="D1547" s="66"/>
      <c r="E1547" s="66"/>
      <c r="F1547" s="66"/>
      <c r="G1547" s="66"/>
      <c r="H1547" s="66"/>
      <c r="I1547" s="66"/>
      <c r="J1547" s="66"/>
    </row>
    <row r="1548">
      <c r="A1548" s="82"/>
      <c r="B1548" s="82"/>
      <c r="C1548" s="66"/>
      <c r="D1548" s="66"/>
      <c r="E1548" s="66"/>
      <c r="F1548" s="66"/>
      <c r="G1548" s="66"/>
      <c r="H1548" s="66"/>
      <c r="I1548" s="66"/>
      <c r="J1548" s="66"/>
    </row>
    <row r="1549">
      <c r="A1549" s="82"/>
      <c r="B1549" s="82"/>
      <c r="C1549" s="66"/>
      <c r="D1549" s="66"/>
      <c r="E1549" s="66"/>
      <c r="F1549" s="66"/>
      <c r="G1549" s="66"/>
      <c r="H1549" s="66"/>
      <c r="I1549" s="66"/>
      <c r="J1549" s="66"/>
    </row>
    <row r="1550">
      <c r="A1550" s="82"/>
      <c r="B1550" s="82"/>
      <c r="C1550" s="66"/>
      <c r="D1550" s="66"/>
      <c r="E1550" s="66"/>
      <c r="F1550" s="66"/>
      <c r="G1550" s="66"/>
      <c r="H1550" s="66"/>
      <c r="I1550" s="66"/>
      <c r="J1550" s="66"/>
    </row>
    <row r="1551">
      <c r="A1551" s="82"/>
      <c r="B1551" s="82"/>
      <c r="C1551" s="66"/>
      <c r="D1551" s="66"/>
      <c r="E1551" s="66"/>
      <c r="F1551" s="66"/>
      <c r="G1551" s="66"/>
      <c r="H1551" s="66"/>
      <c r="I1551" s="66"/>
      <c r="J1551" s="66"/>
    </row>
    <row r="1552">
      <c r="A1552" s="82"/>
      <c r="B1552" s="82"/>
      <c r="C1552" s="66"/>
      <c r="D1552" s="66"/>
      <c r="E1552" s="66"/>
      <c r="F1552" s="66"/>
      <c r="G1552" s="66"/>
      <c r="H1552" s="66"/>
      <c r="I1552" s="66"/>
      <c r="J1552" s="66"/>
    </row>
    <row r="1553">
      <c r="A1553" s="82"/>
      <c r="B1553" s="82"/>
      <c r="C1553" s="66"/>
      <c r="D1553" s="66"/>
      <c r="E1553" s="66"/>
      <c r="F1553" s="66"/>
      <c r="G1553" s="66"/>
      <c r="H1553" s="66"/>
      <c r="I1553" s="66"/>
      <c r="J1553" s="66"/>
    </row>
    <row r="1554">
      <c r="A1554" s="82"/>
      <c r="B1554" s="82"/>
      <c r="C1554" s="66"/>
      <c r="D1554" s="66"/>
      <c r="E1554" s="66"/>
      <c r="F1554" s="66"/>
      <c r="G1554" s="66"/>
      <c r="H1554" s="66"/>
      <c r="I1554" s="66"/>
      <c r="J1554" s="66"/>
    </row>
    <row r="1555">
      <c r="A1555" s="82"/>
      <c r="B1555" s="82"/>
      <c r="C1555" s="66"/>
      <c r="D1555" s="66"/>
      <c r="E1555" s="66"/>
      <c r="F1555" s="66"/>
      <c r="G1555" s="66"/>
      <c r="H1555" s="66"/>
      <c r="I1555" s="66"/>
      <c r="J1555" s="66"/>
    </row>
    <row r="1556">
      <c r="A1556" s="82"/>
      <c r="B1556" s="82"/>
      <c r="C1556" s="66"/>
      <c r="D1556" s="66"/>
      <c r="E1556" s="66"/>
      <c r="F1556" s="66"/>
      <c r="G1556" s="66"/>
      <c r="H1556" s="66"/>
      <c r="I1556" s="66"/>
      <c r="J1556" s="66"/>
    </row>
    <row r="1557">
      <c r="A1557" s="82"/>
      <c r="B1557" s="82"/>
      <c r="C1557" s="66"/>
      <c r="D1557" s="66"/>
      <c r="E1557" s="66"/>
      <c r="F1557" s="66"/>
      <c r="G1557" s="66"/>
      <c r="H1557" s="66"/>
      <c r="I1557" s="66"/>
      <c r="J1557" s="66"/>
    </row>
    <row r="1558">
      <c r="A1558" s="82"/>
      <c r="B1558" s="82"/>
      <c r="C1558" s="66"/>
      <c r="D1558" s="66"/>
      <c r="E1558" s="66"/>
      <c r="F1558" s="66"/>
      <c r="G1558" s="66"/>
      <c r="H1558" s="66"/>
      <c r="I1558" s="66"/>
      <c r="J1558" s="66"/>
    </row>
    <row r="1559">
      <c r="A1559" s="82"/>
      <c r="B1559" s="82"/>
      <c r="C1559" s="66"/>
      <c r="D1559" s="66"/>
      <c r="E1559" s="66"/>
      <c r="F1559" s="66"/>
      <c r="G1559" s="66"/>
      <c r="H1559" s="66"/>
      <c r="I1559" s="66"/>
      <c r="J1559" s="66"/>
    </row>
    <row r="1560">
      <c r="A1560" s="82"/>
      <c r="B1560" s="82"/>
      <c r="C1560" s="66"/>
      <c r="D1560" s="66"/>
      <c r="E1560" s="66"/>
      <c r="F1560" s="66"/>
      <c r="G1560" s="66"/>
      <c r="H1560" s="66"/>
      <c r="I1560" s="66"/>
      <c r="J1560" s="66"/>
    </row>
    <row r="1561">
      <c r="A1561" s="82"/>
      <c r="B1561" s="82"/>
      <c r="C1561" s="66"/>
      <c r="D1561" s="66"/>
      <c r="E1561" s="66"/>
      <c r="F1561" s="66"/>
      <c r="G1561" s="66"/>
      <c r="H1561" s="66"/>
      <c r="I1561" s="66"/>
      <c r="J1561" s="66"/>
    </row>
    <row r="1562">
      <c r="A1562" s="82"/>
      <c r="B1562" s="82"/>
      <c r="C1562" s="66"/>
      <c r="D1562" s="66"/>
      <c r="E1562" s="66"/>
      <c r="F1562" s="66"/>
      <c r="G1562" s="66"/>
      <c r="H1562" s="66"/>
      <c r="I1562" s="66"/>
      <c r="J1562" s="66"/>
    </row>
    <row r="1563">
      <c r="A1563" s="82"/>
      <c r="B1563" s="82"/>
      <c r="C1563" s="66"/>
      <c r="D1563" s="66"/>
      <c r="E1563" s="66"/>
      <c r="F1563" s="66"/>
      <c r="G1563" s="66"/>
      <c r="H1563" s="66"/>
      <c r="I1563" s="66"/>
      <c r="J1563" s="66"/>
    </row>
    <row r="1564">
      <c r="A1564" s="82"/>
      <c r="B1564" s="82"/>
      <c r="C1564" s="66"/>
      <c r="D1564" s="66"/>
      <c r="E1564" s="66"/>
      <c r="F1564" s="66"/>
      <c r="G1564" s="66"/>
      <c r="H1564" s="66"/>
      <c r="I1564" s="66"/>
      <c r="J1564" s="66"/>
    </row>
    <row r="1565">
      <c r="A1565" s="82"/>
      <c r="B1565" s="82"/>
      <c r="C1565" s="66"/>
      <c r="D1565" s="66"/>
      <c r="E1565" s="66"/>
      <c r="F1565" s="66"/>
      <c r="G1565" s="66"/>
      <c r="H1565" s="66"/>
      <c r="I1565" s="66"/>
      <c r="J1565" s="66"/>
    </row>
    <row r="1566">
      <c r="A1566" s="82"/>
      <c r="B1566" s="82"/>
      <c r="C1566" s="66"/>
      <c r="D1566" s="66"/>
      <c r="E1566" s="66"/>
      <c r="F1566" s="66"/>
      <c r="G1566" s="66"/>
      <c r="H1566" s="66"/>
      <c r="I1566" s="66"/>
      <c r="J1566" s="66"/>
    </row>
    <row r="1567">
      <c r="A1567" s="82"/>
      <c r="B1567" s="82"/>
      <c r="C1567" s="66"/>
      <c r="D1567" s="66"/>
      <c r="E1567" s="66"/>
      <c r="F1567" s="66"/>
      <c r="G1567" s="66"/>
      <c r="H1567" s="66"/>
      <c r="I1567" s="66"/>
      <c r="J1567" s="66"/>
    </row>
    <row r="1568">
      <c r="A1568" s="82"/>
      <c r="B1568" s="82"/>
      <c r="C1568" s="66"/>
      <c r="D1568" s="66"/>
      <c r="E1568" s="66"/>
      <c r="F1568" s="66"/>
      <c r="G1568" s="66"/>
      <c r="H1568" s="66"/>
      <c r="I1568" s="66"/>
      <c r="J1568" s="66"/>
    </row>
    <row r="1569">
      <c r="A1569" s="82"/>
      <c r="B1569" s="82"/>
      <c r="C1569" s="66"/>
      <c r="D1569" s="66"/>
      <c r="E1569" s="66"/>
      <c r="F1569" s="66"/>
      <c r="G1569" s="66"/>
      <c r="H1569" s="66"/>
      <c r="I1569" s="66"/>
      <c r="J1569" s="66"/>
    </row>
    <row r="1570">
      <c r="A1570" s="82"/>
      <c r="B1570" s="82"/>
      <c r="C1570" s="66"/>
      <c r="D1570" s="66"/>
      <c r="E1570" s="66"/>
      <c r="F1570" s="66"/>
      <c r="G1570" s="66"/>
      <c r="H1570" s="66"/>
      <c r="I1570" s="66"/>
      <c r="J1570" s="66"/>
    </row>
    <row r="1571">
      <c r="A1571" s="82"/>
      <c r="B1571" s="82"/>
      <c r="C1571" s="66"/>
      <c r="D1571" s="66"/>
      <c r="E1571" s="66"/>
      <c r="F1571" s="66"/>
      <c r="G1571" s="66"/>
      <c r="H1571" s="66"/>
      <c r="I1571" s="66"/>
      <c r="J1571" s="66"/>
    </row>
    <row r="1572">
      <c r="A1572" s="82"/>
      <c r="B1572" s="82"/>
      <c r="C1572" s="66"/>
      <c r="D1572" s="66"/>
      <c r="E1572" s="66"/>
      <c r="F1572" s="66"/>
      <c r="G1572" s="66"/>
      <c r="H1572" s="66"/>
      <c r="I1572" s="66"/>
      <c r="J1572" s="66"/>
    </row>
    <row r="1573">
      <c r="A1573" s="82"/>
      <c r="B1573" s="82"/>
      <c r="C1573" s="66"/>
      <c r="D1573" s="66"/>
      <c r="E1573" s="66"/>
      <c r="F1573" s="66"/>
      <c r="G1573" s="66"/>
      <c r="H1573" s="66"/>
      <c r="I1573" s="66"/>
      <c r="J1573" s="66"/>
    </row>
    <row r="1574">
      <c r="A1574" s="82"/>
      <c r="B1574" s="82"/>
      <c r="C1574" s="66"/>
      <c r="D1574" s="66"/>
      <c r="E1574" s="66"/>
      <c r="F1574" s="66"/>
      <c r="G1574" s="66"/>
      <c r="H1574" s="66"/>
      <c r="I1574" s="66"/>
      <c r="J1574" s="66"/>
    </row>
    <row r="1575">
      <c r="A1575" s="82"/>
      <c r="B1575" s="82"/>
      <c r="C1575" s="66"/>
      <c r="D1575" s="66"/>
      <c r="E1575" s="66"/>
      <c r="F1575" s="66"/>
      <c r="G1575" s="66"/>
      <c r="H1575" s="66"/>
      <c r="I1575" s="66"/>
      <c r="J1575" s="66"/>
    </row>
    <row r="1576">
      <c r="A1576" s="82"/>
      <c r="B1576" s="82"/>
      <c r="C1576" s="66"/>
      <c r="D1576" s="66"/>
      <c r="E1576" s="66"/>
      <c r="F1576" s="66"/>
      <c r="G1576" s="66"/>
      <c r="H1576" s="66"/>
      <c r="I1576" s="66"/>
      <c r="J1576" s="66"/>
    </row>
    <row r="1577">
      <c r="A1577" s="82"/>
      <c r="B1577" s="82"/>
      <c r="C1577" s="66"/>
      <c r="D1577" s="66"/>
      <c r="E1577" s="66"/>
      <c r="F1577" s="66"/>
      <c r="G1577" s="66"/>
      <c r="H1577" s="66"/>
      <c r="I1577" s="66"/>
      <c r="J1577" s="66"/>
    </row>
    <row r="1578">
      <c r="A1578" s="82"/>
      <c r="B1578" s="82"/>
      <c r="C1578" s="66"/>
      <c r="D1578" s="66"/>
      <c r="E1578" s="66"/>
      <c r="F1578" s="66"/>
      <c r="G1578" s="66"/>
      <c r="H1578" s="66"/>
      <c r="I1578" s="66"/>
      <c r="J1578" s="66"/>
    </row>
    <row r="1579">
      <c r="A1579" s="82"/>
      <c r="B1579" s="82"/>
      <c r="C1579" s="66"/>
      <c r="D1579" s="66"/>
      <c r="E1579" s="66"/>
      <c r="F1579" s="66"/>
      <c r="G1579" s="66"/>
      <c r="H1579" s="66"/>
      <c r="I1579" s="66"/>
      <c r="J1579" s="66"/>
    </row>
    <row r="1580">
      <c r="A1580" s="82"/>
      <c r="B1580" s="82"/>
      <c r="C1580" s="66"/>
      <c r="D1580" s="66"/>
      <c r="E1580" s="66"/>
      <c r="F1580" s="66"/>
      <c r="G1580" s="66"/>
      <c r="H1580" s="66"/>
      <c r="I1580" s="66"/>
      <c r="J1580" s="66"/>
    </row>
    <row r="1581">
      <c r="A1581" s="82"/>
      <c r="B1581" s="82"/>
      <c r="C1581" s="66"/>
      <c r="D1581" s="66"/>
      <c r="E1581" s="66"/>
      <c r="F1581" s="66"/>
      <c r="G1581" s="66"/>
      <c r="H1581" s="66"/>
      <c r="I1581" s="66"/>
      <c r="J1581" s="66"/>
    </row>
    <row r="1582">
      <c r="A1582" s="82"/>
      <c r="B1582" s="82"/>
      <c r="C1582" s="66"/>
      <c r="D1582" s="66"/>
      <c r="E1582" s="66"/>
      <c r="F1582" s="66"/>
      <c r="G1582" s="66"/>
      <c r="H1582" s="66"/>
      <c r="I1582" s="66"/>
      <c r="J1582" s="66"/>
    </row>
    <row r="1583">
      <c r="A1583" s="82"/>
      <c r="B1583" s="82"/>
      <c r="C1583" s="66"/>
      <c r="D1583" s="66"/>
      <c r="E1583" s="66"/>
      <c r="F1583" s="66"/>
      <c r="G1583" s="66"/>
      <c r="H1583" s="66"/>
      <c r="I1583" s="66"/>
      <c r="J1583" s="66"/>
    </row>
    <row r="1584">
      <c r="A1584" s="82"/>
      <c r="B1584" s="82"/>
      <c r="C1584" s="66"/>
      <c r="D1584" s="66"/>
      <c r="E1584" s="66"/>
      <c r="F1584" s="66"/>
      <c r="G1584" s="66"/>
      <c r="H1584" s="66"/>
      <c r="I1584" s="66"/>
      <c r="J1584" s="66"/>
    </row>
    <row r="1585">
      <c r="A1585" s="82"/>
      <c r="B1585" s="82"/>
      <c r="C1585" s="66"/>
      <c r="D1585" s="66"/>
      <c r="E1585" s="66"/>
      <c r="F1585" s="66"/>
      <c r="G1585" s="66"/>
      <c r="H1585" s="66"/>
      <c r="I1585" s="66"/>
      <c r="J1585" s="66"/>
    </row>
    <row r="1586">
      <c r="A1586" s="82"/>
      <c r="B1586" s="82"/>
      <c r="C1586" s="66"/>
      <c r="D1586" s="66"/>
      <c r="E1586" s="66"/>
      <c r="F1586" s="66"/>
      <c r="G1586" s="66"/>
      <c r="H1586" s="66"/>
      <c r="I1586" s="66"/>
      <c r="J1586" s="66"/>
    </row>
    <row r="1587">
      <c r="A1587" s="82"/>
      <c r="B1587" s="82"/>
      <c r="C1587" s="66"/>
      <c r="D1587" s="66"/>
      <c r="E1587" s="66"/>
      <c r="F1587" s="66"/>
      <c r="G1587" s="66"/>
      <c r="H1587" s="66"/>
      <c r="I1587" s="66"/>
      <c r="J1587" s="66"/>
    </row>
    <row r="1588">
      <c r="A1588" s="82"/>
      <c r="B1588" s="82"/>
      <c r="C1588" s="66"/>
      <c r="D1588" s="66"/>
      <c r="E1588" s="66"/>
      <c r="F1588" s="66"/>
      <c r="G1588" s="66"/>
      <c r="H1588" s="66"/>
      <c r="I1588" s="66"/>
      <c r="J1588" s="66"/>
    </row>
    <row r="1589">
      <c r="A1589" s="82"/>
      <c r="B1589" s="82"/>
      <c r="C1589" s="66"/>
      <c r="D1589" s="66"/>
      <c r="E1589" s="66"/>
      <c r="F1589" s="66"/>
      <c r="G1589" s="66"/>
      <c r="H1589" s="66"/>
      <c r="I1589" s="66"/>
      <c r="J1589" s="66"/>
    </row>
    <row r="1590">
      <c r="A1590" s="82"/>
      <c r="B1590" s="82"/>
      <c r="C1590" s="66"/>
      <c r="D1590" s="66"/>
      <c r="E1590" s="66"/>
      <c r="F1590" s="66"/>
      <c r="G1590" s="66"/>
      <c r="H1590" s="66"/>
      <c r="I1590" s="66"/>
      <c r="J1590" s="66"/>
    </row>
    <row r="1591">
      <c r="A1591" s="82"/>
      <c r="B1591" s="82"/>
      <c r="C1591" s="66"/>
      <c r="D1591" s="66"/>
      <c r="E1591" s="66"/>
      <c r="F1591" s="66"/>
      <c r="G1591" s="66"/>
      <c r="H1591" s="66"/>
      <c r="I1591" s="66"/>
      <c r="J1591" s="66"/>
    </row>
    <row r="1592">
      <c r="A1592" s="82"/>
      <c r="B1592" s="82"/>
      <c r="C1592" s="66"/>
      <c r="D1592" s="66"/>
      <c r="E1592" s="66"/>
      <c r="F1592" s="66"/>
      <c r="G1592" s="66"/>
      <c r="H1592" s="66"/>
      <c r="I1592" s="66"/>
      <c r="J1592" s="66"/>
    </row>
    <row r="1593">
      <c r="A1593" s="82"/>
      <c r="B1593" s="82"/>
      <c r="C1593" s="66"/>
      <c r="D1593" s="66"/>
      <c r="E1593" s="66"/>
      <c r="F1593" s="66"/>
      <c r="G1593" s="66"/>
      <c r="H1593" s="66"/>
      <c r="I1593" s="66"/>
      <c r="J1593" s="66"/>
    </row>
    <row r="1594">
      <c r="A1594" s="82"/>
      <c r="B1594" s="82"/>
      <c r="C1594" s="66"/>
      <c r="D1594" s="66"/>
      <c r="E1594" s="66"/>
      <c r="F1594" s="66"/>
      <c r="G1594" s="66"/>
      <c r="H1594" s="66"/>
      <c r="I1594" s="66"/>
      <c r="J1594" s="66"/>
    </row>
    <row r="1595">
      <c r="A1595" s="82"/>
      <c r="B1595" s="82"/>
      <c r="C1595" s="66"/>
      <c r="D1595" s="66"/>
      <c r="E1595" s="66"/>
      <c r="F1595" s="66"/>
      <c r="G1595" s="66"/>
      <c r="H1595" s="66"/>
      <c r="I1595" s="66"/>
      <c r="J1595" s="66"/>
    </row>
    <row r="1596">
      <c r="A1596" s="82"/>
      <c r="B1596" s="82"/>
      <c r="C1596" s="66"/>
      <c r="D1596" s="66"/>
      <c r="E1596" s="66"/>
      <c r="F1596" s="66"/>
      <c r="G1596" s="66"/>
      <c r="H1596" s="66"/>
      <c r="I1596" s="66"/>
      <c r="J1596" s="66"/>
    </row>
    <row r="1597">
      <c r="A1597" s="82"/>
      <c r="B1597" s="82"/>
      <c r="C1597" s="66"/>
      <c r="D1597" s="66"/>
      <c r="E1597" s="66"/>
      <c r="F1597" s="66"/>
      <c r="G1597" s="66"/>
      <c r="H1597" s="66"/>
      <c r="I1597" s="66"/>
      <c r="J1597" s="66"/>
    </row>
    <row r="1598">
      <c r="A1598" s="82"/>
      <c r="B1598" s="82"/>
      <c r="C1598" s="66"/>
      <c r="D1598" s="66"/>
      <c r="E1598" s="66"/>
      <c r="F1598" s="66"/>
      <c r="G1598" s="66"/>
      <c r="H1598" s="66"/>
      <c r="I1598" s="66"/>
      <c r="J1598" s="66"/>
    </row>
    <row r="1599">
      <c r="A1599" s="82"/>
      <c r="B1599" s="82"/>
      <c r="C1599" s="66"/>
      <c r="D1599" s="66"/>
      <c r="E1599" s="66"/>
      <c r="F1599" s="66"/>
      <c r="G1599" s="66"/>
      <c r="H1599" s="66"/>
      <c r="I1599" s="66"/>
      <c r="J1599" s="66"/>
    </row>
    <row r="1600">
      <c r="A1600" s="82"/>
      <c r="B1600" s="82"/>
      <c r="C1600" s="66"/>
      <c r="D1600" s="66"/>
      <c r="E1600" s="66"/>
      <c r="F1600" s="66"/>
      <c r="G1600" s="66"/>
      <c r="H1600" s="66"/>
      <c r="I1600" s="66"/>
      <c r="J1600" s="66"/>
    </row>
    <row r="1601">
      <c r="A1601" s="82"/>
      <c r="B1601" s="82"/>
      <c r="C1601" s="66"/>
      <c r="D1601" s="66"/>
      <c r="E1601" s="66"/>
      <c r="F1601" s="66"/>
      <c r="G1601" s="66"/>
      <c r="H1601" s="66"/>
      <c r="I1601" s="66"/>
      <c r="J1601" s="66"/>
    </row>
    <row r="1602">
      <c r="A1602" s="82"/>
      <c r="B1602" s="82"/>
      <c r="C1602" s="66"/>
      <c r="D1602" s="66"/>
      <c r="E1602" s="66"/>
      <c r="F1602" s="66"/>
      <c r="G1602" s="66"/>
      <c r="H1602" s="66"/>
      <c r="I1602" s="66"/>
      <c r="J1602" s="66"/>
    </row>
    <row r="1603">
      <c r="A1603" s="82"/>
      <c r="B1603" s="82"/>
      <c r="C1603" s="66"/>
      <c r="D1603" s="66"/>
      <c r="E1603" s="66"/>
      <c r="F1603" s="66"/>
      <c r="G1603" s="66"/>
      <c r="H1603" s="66"/>
      <c r="I1603" s="66"/>
      <c r="J1603" s="66"/>
    </row>
    <row r="1604">
      <c r="A1604" s="82"/>
      <c r="B1604" s="82"/>
      <c r="C1604" s="66"/>
      <c r="D1604" s="66"/>
      <c r="E1604" s="66"/>
      <c r="F1604" s="66"/>
      <c r="G1604" s="66"/>
      <c r="H1604" s="66"/>
      <c r="I1604" s="66"/>
      <c r="J1604" s="66"/>
    </row>
    <row r="1605">
      <c r="A1605" s="82"/>
      <c r="B1605" s="82"/>
      <c r="C1605" s="66"/>
      <c r="D1605" s="66"/>
      <c r="E1605" s="66"/>
      <c r="F1605" s="66"/>
      <c r="G1605" s="66"/>
      <c r="H1605" s="66"/>
      <c r="I1605" s="66"/>
      <c r="J1605" s="66"/>
    </row>
    <row r="1606">
      <c r="A1606" s="82"/>
      <c r="B1606" s="82"/>
      <c r="C1606" s="66"/>
      <c r="D1606" s="66"/>
      <c r="E1606" s="66"/>
      <c r="F1606" s="66"/>
      <c r="G1606" s="66"/>
      <c r="H1606" s="66"/>
      <c r="I1606" s="66"/>
      <c r="J1606" s="66"/>
    </row>
    <row r="1607">
      <c r="A1607" s="82"/>
      <c r="B1607" s="82"/>
      <c r="C1607" s="66"/>
      <c r="D1607" s="66"/>
      <c r="E1607" s="66"/>
      <c r="F1607" s="66"/>
      <c r="G1607" s="66"/>
      <c r="H1607" s="66"/>
      <c r="I1607" s="66"/>
      <c r="J1607" s="66"/>
    </row>
    <row r="1608">
      <c r="A1608" s="82"/>
      <c r="B1608" s="82"/>
      <c r="C1608" s="66"/>
      <c r="D1608" s="66"/>
      <c r="E1608" s="66"/>
      <c r="F1608" s="66"/>
      <c r="G1608" s="66"/>
      <c r="H1608" s="66"/>
      <c r="I1608" s="66"/>
      <c r="J1608" s="66"/>
    </row>
    <row r="1609">
      <c r="A1609" s="82"/>
      <c r="B1609" s="82"/>
      <c r="C1609" s="66"/>
      <c r="D1609" s="66"/>
      <c r="E1609" s="66"/>
      <c r="F1609" s="66"/>
      <c r="G1609" s="66"/>
      <c r="H1609" s="66"/>
      <c r="I1609" s="66"/>
      <c r="J1609" s="66"/>
    </row>
    <row r="1610">
      <c r="A1610" s="82"/>
      <c r="B1610" s="82"/>
      <c r="C1610" s="66"/>
      <c r="D1610" s="66"/>
      <c r="E1610" s="66"/>
      <c r="F1610" s="66"/>
      <c r="G1610" s="66"/>
      <c r="H1610" s="66"/>
      <c r="I1610" s="66"/>
      <c r="J1610" s="66"/>
    </row>
    <row r="1611">
      <c r="A1611" s="82"/>
      <c r="B1611" s="82"/>
      <c r="C1611" s="66"/>
      <c r="D1611" s="66"/>
      <c r="E1611" s="66"/>
      <c r="F1611" s="66"/>
      <c r="G1611" s="66"/>
      <c r="H1611" s="66"/>
      <c r="I1611" s="66"/>
      <c r="J1611" s="66"/>
    </row>
    <row r="1612">
      <c r="A1612" s="82"/>
      <c r="B1612" s="82"/>
      <c r="C1612" s="66"/>
      <c r="D1612" s="66"/>
      <c r="E1612" s="66"/>
      <c r="F1612" s="66"/>
      <c r="G1612" s="66"/>
      <c r="H1612" s="66"/>
      <c r="I1612" s="66"/>
      <c r="J1612" s="66"/>
    </row>
    <row r="1613">
      <c r="A1613" s="82"/>
      <c r="B1613" s="82"/>
      <c r="C1613" s="66"/>
      <c r="D1613" s="66"/>
      <c r="E1613" s="66"/>
      <c r="F1613" s="66"/>
      <c r="G1613" s="66"/>
      <c r="H1613" s="66"/>
      <c r="I1613" s="66"/>
      <c r="J1613" s="66"/>
    </row>
    <row r="1614">
      <c r="A1614" s="82"/>
      <c r="B1614" s="82"/>
      <c r="C1614" s="66"/>
      <c r="D1614" s="66"/>
      <c r="E1614" s="66"/>
      <c r="F1614" s="66"/>
      <c r="G1614" s="66"/>
      <c r="H1614" s="66"/>
      <c r="I1614" s="66"/>
      <c r="J1614" s="66"/>
    </row>
    <row r="1615">
      <c r="A1615" s="82"/>
      <c r="B1615" s="82"/>
      <c r="C1615" s="66"/>
      <c r="D1615" s="66"/>
      <c r="E1615" s="66"/>
      <c r="F1615" s="66"/>
      <c r="G1615" s="66"/>
      <c r="H1615" s="66"/>
      <c r="I1615" s="66"/>
      <c r="J1615" s="66"/>
    </row>
    <row r="1616">
      <c r="A1616" s="82"/>
      <c r="B1616" s="82"/>
      <c r="C1616" s="66"/>
      <c r="D1616" s="66"/>
      <c r="E1616" s="66"/>
      <c r="F1616" s="66"/>
      <c r="G1616" s="66"/>
      <c r="H1616" s="66"/>
      <c r="I1616" s="66"/>
      <c r="J1616" s="66"/>
    </row>
    <row r="1617">
      <c r="A1617" s="82"/>
      <c r="B1617" s="82"/>
      <c r="C1617" s="66"/>
      <c r="D1617" s="66"/>
      <c r="E1617" s="66"/>
      <c r="F1617" s="66"/>
      <c r="G1617" s="66"/>
      <c r="H1617" s="66"/>
      <c r="I1617" s="66"/>
      <c r="J1617" s="66"/>
    </row>
    <row r="1618">
      <c r="A1618" s="82"/>
      <c r="B1618" s="82"/>
      <c r="C1618" s="66"/>
      <c r="D1618" s="66"/>
      <c r="E1618" s="66"/>
      <c r="F1618" s="66"/>
      <c r="G1618" s="66"/>
      <c r="H1618" s="66"/>
      <c r="I1618" s="66"/>
      <c r="J1618" s="66"/>
    </row>
    <row r="1619">
      <c r="A1619" s="82"/>
      <c r="B1619" s="82"/>
      <c r="C1619" s="66"/>
      <c r="D1619" s="66"/>
      <c r="E1619" s="66"/>
      <c r="F1619" s="66"/>
      <c r="G1619" s="66"/>
      <c r="H1619" s="66"/>
      <c r="I1619" s="66"/>
      <c r="J1619" s="66"/>
    </row>
    <row r="1620">
      <c r="A1620" s="82"/>
      <c r="B1620" s="82"/>
      <c r="C1620" s="66"/>
      <c r="D1620" s="66"/>
      <c r="E1620" s="66"/>
      <c r="F1620" s="66"/>
      <c r="G1620" s="66"/>
      <c r="H1620" s="66"/>
      <c r="I1620" s="66"/>
      <c r="J1620" s="66"/>
    </row>
    <row r="1621">
      <c r="A1621" s="82"/>
      <c r="B1621" s="82"/>
      <c r="C1621" s="66"/>
      <c r="D1621" s="66"/>
      <c r="E1621" s="66"/>
      <c r="F1621" s="66"/>
      <c r="G1621" s="66"/>
      <c r="H1621" s="66"/>
      <c r="I1621" s="66"/>
      <c r="J1621" s="66"/>
    </row>
    <row r="1622">
      <c r="A1622" s="82"/>
      <c r="B1622" s="82"/>
      <c r="C1622" s="66"/>
      <c r="D1622" s="66"/>
      <c r="E1622" s="66"/>
      <c r="F1622" s="66"/>
      <c r="G1622" s="66"/>
      <c r="H1622" s="66"/>
      <c r="I1622" s="66"/>
      <c r="J1622" s="66"/>
    </row>
    <row r="1623">
      <c r="A1623" s="82"/>
      <c r="B1623" s="82"/>
      <c r="C1623" s="66"/>
      <c r="D1623" s="66"/>
      <c r="E1623" s="66"/>
      <c r="F1623" s="66"/>
      <c r="G1623" s="66"/>
      <c r="H1623" s="66"/>
      <c r="I1623" s="66"/>
      <c r="J1623" s="66"/>
    </row>
    <row r="1624">
      <c r="A1624" s="82"/>
      <c r="B1624" s="82"/>
      <c r="C1624" s="66"/>
      <c r="D1624" s="66"/>
      <c r="E1624" s="66"/>
      <c r="F1624" s="66"/>
      <c r="G1624" s="66"/>
      <c r="H1624" s="66"/>
      <c r="I1624" s="66"/>
      <c r="J1624" s="66"/>
    </row>
    <row r="1625">
      <c r="A1625" s="82"/>
      <c r="B1625" s="82"/>
      <c r="C1625" s="66"/>
      <c r="D1625" s="66"/>
      <c r="E1625" s="66"/>
      <c r="F1625" s="66"/>
      <c r="G1625" s="66"/>
      <c r="H1625" s="66"/>
      <c r="I1625" s="66"/>
      <c r="J1625" s="66"/>
    </row>
    <row r="1626">
      <c r="A1626" s="82"/>
      <c r="B1626" s="82"/>
      <c r="C1626" s="66"/>
      <c r="D1626" s="66"/>
      <c r="E1626" s="66"/>
      <c r="F1626" s="66"/>
      <c r="G1626" s="66"/>
      <c r="H1626" s="66"/>
      <c r="I1626" s="66"/>
      <c r="J1626" s="66"/>
    </row>
    <row r="1627">
      <c r="A1627" s="82"/>
      <c r="B1627" s="82"/>
      <c r="C1627" s="66"/>
      <c r="D1627" s="66"/>
      <c r="E1627" s="66"/>
      <c r="F1627" s="66"/>
      <c r="G1627" s="66"/>
      <c r="H1627" s="66"/>
      <c r="I1627" s="66"/>
      <c r="J1627" s="66"/>
    </row>
    <row r="1628">
      <c r="A1628" s="82"/>
      <c r="B1628" s="82"/>
      <c r="C1628" s="66"/>
      <c r="D1628" s="66"/>
      <c r="E1628" s="66"/>
      <c r="F1628" s="66"/>
      <c r="G1628" s="66"/>
      <c r="H1628" s="66"/>
      <c r="I1628" s="66"/>
      <c r="J1628" s="66"/>
    </row>
    <row r="1629">
      <c r="A1629" s="82"/>
      <c r="B1629" s="82"/>
      <c r="C1629" s="66"/>
      <c r="D1629" s="66"/>
      <c r="E1629" s="66"/>
      <c r="F1629" s="66"/>
      <c r="G1629" s="66"/>
      <c r="H1629" s="66"/>
      <c r="I1629" s="66"/>
      <c r="J1629" s="66"/>
    </row>
    <row r="1630">
      <c r="A1630" s="82"/>
      <c r="B1630" s="82"/>
      <c r="C1630" s="66"/>
      <c r="D1630" s="66"/>
      <c r="E1630" s="66"/>
      <c r="F1630" s="66"/>
      <c r="G1630" s="66"/>
      <c r="H1630" s="66"/>
      <c r="I1630" s="66"/>
      <c r="J1630" s="66"/>
    </row>
    <row r="1631">
      <c r="A1631" s="82"/>
      <c r="B1631" s="82"/>
      <c r="C1631" s="66"/>
      <c r="D1631" s="66"/>
      <c r="E1631" s="66"/>
      <c r="F1631" s="66"/>
      <c r="G1631" s="66"/>
      <c r="H1631" s="66"/>
      <c r="I1631" s="66"/>
      <c r="J1631" s="66"/>
    </row>
    <row r="1632">
      <c r="A1632" s="82"/>
      <c r="B1632" s="82"/>
      <c r="C1632" s="66"/>
      <c r="D1632" s="66"/>
      <c r="E1632" s="66"/>
      <c r="F1632" s="66"/>
      <c r="G1632" s="66"/>
      <c r="H1632" s="66"/>
      <c r="I1632" s="66"/>
      <c r="J1632" s="66"/>
    </row>
    <row r="1633">
      <c r="A1633" s="82"/>
      <c r="B1633" s="82"/>
      <c r="C1633" s="66"/>
      <c r="D1633" s="66"/>
      <c r="E1633" s="66"/>
      <c r="F1633" s="66"/>
      <c r="G1633" s="66"/>
      <c r="H1633" s="66"/>
      <c r="I1633" s="66"/>
      <c r="J1633" s="66"/>
    </row>
    <row r="1634">
      <c r="A1634" s="82"/>
      <c r="B1634" s="82"/>
      <c r="C1634" s="66"/>
      <c r="D1634" s="66"/>
      <c r="E1634" s="66"/>
      <c r="F1634" s="66"/>
      <c r="G1634" s="66"/>
      <c r="H1634" s="66"/>
      <c r="I1634" s="66"/>
      <c r="J1634" s="66"/>
    </row>
    <row r="1635">
      <c r="A1635" s="82"/>
      <c r="B1635" s="82"/>
      <c r="C1635" s="66"/>
      <c r="D1635" s="66"/>
      <c r="E1635" s="66"/>
      <c r="F1635" s="66"/>
      <c r="G1635" s="66"/>
      <c r="H1635" s="66"/>
      <c r="I1635" s="66"/>
      <c r="J1635" s="66"/>
    </row>
    <row r="1636">
      <c r="A1636" s="82"/>
      <c r="B1636" s="82"/>
      <c r="C1636" s="66"/>
      <c r="D1636" s="66"/>
      <c r="E1636" s="66"/>
      <c r="F1636" s="66"/>
      <c r="G1636" s="66"/>
      <c r="H1636" s="66"/>
      <c r="I1636" s="66"/>
      <c r="J1636" s="66"/>
    </row>
    <row r="1637">
      <c r="A1637" s="82"/>
      <c r="B1637" s="82"/>
      <c r="C1637" s="66"/>
      <c r="D1637" s="66"/>
      <c r="E1637" s="66"/>
      <c r="F1637" s="66"/>
      <c r="G1637" s="66"/>
      <c r="H1637" s="66"/>
      <c r="I1637" s="66"/>
      <c r="J1637" s="66"/>
    </row>
    <row r="1638">
      <c r="A1638" s="82"/>
      <c r="B1638" s="82"/>
      <c r="C1638" s="66"/>
      <c r="D1638" s="66"/>
      <c r="E1638" s="66"/>
      <c r="F1638" s="66"/>
      <c r="G1638" s="66"/>
      <c r="H1638" s="66"/>
      <c r="I1638" s="66"/>
      <c r="J1638" s="66"/>
    </row>
    <row r="1639">
      <c r="A1639" s="82"/>
      <c r="B1639" s="82"/>
      <c r="C1639" s="66"/>
      <c r="D1639" s="66"/>
      <c r="E1639" s="66"/>
      <c r="F1639" s="66"/>
      <c r="G1639" s="66"/>
      <c r="H1639" s="66"/>
      <c r="I1639" s="66"/>
      <c r="J1639" s="66"/>
    </row>
    <row r="1640">
      <c r="A1640" s="82"/>
      <c r="B1640" s="82"/>
      <c r="C1640" s="66"/>
      <c r="D1640" s="66"/>
      <c r="E1640" s="66"/>
      <c r="F1640" s="66"/>
      <c r="G1640" s="66"/>
      <c r="H1640" s="66"/>
      <c r="I1640" s="66"/>
      <c r="J1640" s="66"/>
    </row>
    <row r="1641">
      <c r="A1641" s="82"/>
      <c r="B1641" s="82"/>
      <c r="C1641" s="66"/>
      <c r="D1641" s="66"/>
      <c r="E1641" s="66"/>
      <c r="F1641" s="66"/>
      <c r="G1641" s="66"/>
      <c r="H1641" s="66"/>
      <c r="I1641" s="66"/>
      <c r="J1641" s="66"/>
    </row>
    <row r="1642">
      <c r="A1642" s="82"/>
      <c r="B1642" s="82"/>
      <c r="C1642" s="66"/>
      <c r="D1642" s="66"/>
      <c r="E1642" s="66"/>
      <c r="F1642" s="66"/>
      <c r="G1642" s="66"/>
      <c r="H1642" s="66"/>
      <c r="I1642" s="66"/>
      <c r="J1642" s="66"/>
    </row>
    <row r="1643">
      <c r="A1643" s="82"/>
      <c r="B1643" s="82"/>
      <c r="C1643" s="66"/>
      <c r="D1643" s="66"/>
      <c r="E1643" s="66"/>
      <c r="F1643" s="66"/>
      <c r="G1643" s="66"/>
      <c r="H1643" s="66"/>
      <c r="I1643" s="66"/>
      <c r="J1643" s="66"/>
    </row>
    <row r="1644">
      <c r="A1644" s="82"/>
      <c r="B1644" s="82"/>
      <c r="C1644" s="66"/>
      <c r="D1644" s="66"/>
      <c r="E1644" s="66"/>
      <c r="F1644" s="66"/>
      <c r="G1644" s="66"/>
      <c r="H1644" s="66"/>
      <c r="I1644" s="66"/>
      <c r="J1644" s="66"/>
    </row>
    <row r="1645">
      <c r="A1645" s="82"/>
      <c r="B1645" s="82"/>
      <c r="C1645" s="66"/>
      <c r="D1645" s="66"/>
      <c r="E1645" s="66"/>
      <c r="F1645" s="66"/>
      <c r="G1645" s="66"/>
      <c r="H1645" s="66"/>
      <c r="I1645" s="66"/>
      <c r="J1645" s="66"/>
    </row>
    <row r="1646">
      <c r="A1646" s="82"/>
      <c r="B1646" s="82"/>
      <c r="C1646" s="66"/>
      <c r="D1646" s="66"/>
      <c r="E1646" s="66"/>
      <c r="F1646" s="66"/>
      <c r="G1646" s="66"/>
      <c r="H1646" s="66"/>
      <c r="I1646" s="66"/>
      <c r="J1646" s="66"/>
    </row>
    <row r="1647">
      <c r="A1647" s="82"/>
      <c r="B1647" s="82"/>
      <c r="C1647" s="66"/>
      <c r="D1647" s="66"/>
      <c r="E1647" s="66"/>
      <c r="F1647" s="66"/>
      <c r="G1647" s="66"/>
      <c r="H1647" s="66"/>
      <c r="I1647" s="66"/>
      <c r="J1647" s="66"/>
    </row>
    <row r="1648">
      <c r="A1648" s="82"/>
      <c r="B1648" s="82"/>
      <c r="C1648" s="66"/>
      <c r="D1648" s="66"/>
      <c r="E1648" s="66"/>
      <c r="F1648" s="66"/>
      <c r="G1648" s="66"/>
      <c r="H1648" s="66"/>
      <c r="I1648" s="66"/>
      <c r="J1648" s="66"/>
    </row>
    <row r="1649">
      <c r="A1649" s="82"/>
      <c r="B1649" s="82"/>
      <c r="C1649" s="66"/>
      <c r="D1649" s="66"/>
      <c r="E1649" s="66"/>
      <c r="F1649" s="66"/>
      <c r="G1649" s="66"/>
      <c r="H1649" s="66"/>
      <c r="I1649" s="66"/>
      <c r="J1649" s="66"/>
    </row>
    <row r="1650">
      <c r="A1650" s="82"/>
      <c r="B1650" s="82"/>
      <c r="C1650" s="66"/>
      <c r="D1650" s="66"/>
      <c r="E1650" s="66"/>
      <c r="F1650" s="66"/>
      <c r="G1650" s="66"/>
      <c r="H1650" s="66"/>
      <c r="I1650" s="66"/>
      <c r="J1650" s="66"/>
    </row>
    <row r="1651">
      <c r="A1651" s="82"/>
      <c r="B1651" s="82"/>
      <c r="C1651" s="66"/>
      <c r="D1651" s="66"/>
      <c r="E1651" s="66"/>
      <c r="F1651" s="66"/>
      <c r="G1651" s="66"/>
      <c r="H1651" s="66"/>
      <c r="I1651" s="66"/>
      <c r="J1651" s="66"/>
    </row>
    <row r="1652">
      <c r="A1652" s="82"/>
      <c r="B1652" s="82"/>
      <c r="C1652" s="66"/>
      <c r="D1652" s="66"/>
      <c r="E1652" s="66"/>
      <c r="F1652" s="66"/>
      <c r="G1652" s="66"/>
      <c r="H1652" s="66"/>
      <c r="I1652" s="66"/>
      <c r="J1652" s="66"/>
    </row>
    <row r="1653">
      <c r="A1653" s="82"/>
      <c r="B1653" s="82"/>
      <c r="C1653" s="66"/>
      <c r="D1653" s="66"/>
      <c r="E1653" s="66"/>
      <c r="F1653" s="66"/>
      <c r="G1653" s="66"/>
      <c r="H1653" s="66"/>
      <c r="I1653" s="66"/>
      <c r="J1653" s="66"/>
    </row>
    <row r="1654">
      <c r="A1654" s="82"/>
      <c r="B1654" s="82"/>
      <c r="C1654" s="66"/>
      <c r="D1654" s="66"/>
      <c r="E1654" s="66"/>
      <c r="F1654" s="66"/>
      <c r="G1654" s="66"/>
      <c r="H1654" s="66"/>
      <c r="I1654" s="66"/>
      <c r="J1654" s="66"/>
    </row>
    <row r="1655">
      <c r="A1655" s="82"/>
      <c r="B1655" s="82"/>
      <c r="C1655" s="66"/>
      <c r="D1655" s="66"/>
      <c r="E1655" s="66"/>
      <c r="F1655" s="66"/>
      <c r="G1655" s="66"/>
      <c r="H1655" s="66"/>
      <c r="I1655" s="66"/>
      <c r="J1655" s="66"/>
    </row>
    <row r="1656">
      <c r="A1656" s="82"/>
      <c r="B1656" s="82"/>
      <c r="C1656" s="66"/>
      <c r="D1656" s="66"/>
      <c r="E1656" s="66"/>
      <c r="F1656" s="66"/>
      <c r="G1656" s="66"/>
      <c r="H1656" s="66"/>
      <c r="I1656" s="66"/>
      <c r="J1656" s="66"/>
    </row>
    <row r="1657">
      <c r="A1657" s="82"/>
      <c r="B1657" s="82"/>
      <c r="C1657" s="66"/>
      <c r="D1657" s="66"/>
      <c r="E1657" s="66"/>
      <c r="F1657" s="66"/>
      <c r="G1657" s="66"/>
      <c r="H1657" s="66"/>
      <c r="I1657" s="66"/>
      <c r="J1657" s="66"/>
    </row>
    <row r="1658">
      <c r="A1658" s="82"/>
      <c r="B1658" s="82"/>
      <c r="C1658" s="66"/>
      <c r="D1658" s="66"/>
      <c r="E1658" s="66"/>
      <c r="F1658" s="66"/>
      <c r="G1658" s="66"/>
      <c r="H1658" s="66"/>
      <c r="I1658" s="66"/>
      <c r="J1658" s="66"/>
    </row>
    <row r="1659">
      <c r="A1659" s="82"/>
      <c r="B1659" s="82"/>
      <c r="C1659" s="66"/>
      <c r="D1659" s="66"/>
      <c r="E1659" s="66"/>
      <c r="F1659" s="66"/>
      <c r="G1659" s="66"/>
      <c r="H1659" s="66"/>
      <c r="I1659" s="66"/>
      <c r="J1659" s="66"/>
    </row>
    <row r="1660">
      <c r="A1660" s="82"/>
      <c r="B1660" s="82"/>
      <c r="C1660" s="66"/>
      <c r="D1660" s="66"/>
      <c r="E1660" s="66"/>
      <c r="F1660" s="66"/>
      <c r="G1660" s="66"/>
      <c r="H1660" s="66"/>
      <c r="I1660" s="66"/>
      <c r="J1660" s="66"/>
    </row>
    <row r="1661">
      <c r="A1661" s="82"/>
      <c r="B1661" s="82"/>
      <c r="C1661" s="66"/>
      <c r="D1661" s="66"/>
      <c r="E1661" s="66"/>
      <c r="F1661" s="66"/>
      <c r="G1661" s="66"/>
      <c r="H1661" s="66"/>
      <c r="I1661" s="66"/>
      <c r="J1661" s="66"/>
    </row>
    <row r="1662">
      <c r="A1662" s="82"/>
      <c r="B1662" s="82"/>
      <c r="C1662" s="66"/>
      <c r="D1662" s="66"/>
      <c r="E1662" s="66"/>
      <c r="F1662" s="66"/>
      <c r="G1662" s="66"/>
      <c r="H1662" s="66"/>
      <c r="I1662" s="66"/>
      <c r="J1662" s="66"/>
    </row>
    <row r="1663">
      <c r="A1663" s="82"/>
      <c r="B1663" s="82"/>
      <c r="C1663" s="66"/>
      <c r="D1663" s="66"/>
      <c r="E1663" s="66"/>
      <c r="F1663" s="66"/>
      <c r="G1663" s="66"/>
      <c r="H1663" s="66"/>
      <c r="I1663" s="66"/>
      <c r="J1663" s="66"/>
    </row>
    <row r="1664">
      <c r="A1664" s="82"/>
      <c r="B1664" s="82"/>
      <c r="C1664" s="66"/>
      <c r="D1664" s="66"/>
      <c r="E1664" s="66"/>
      <c r="F1664" s="66"/>
      <c r="G1664" s="66"/>
      <c r="H1664" s="66"/>
      <c r="I1664" s="66"/>
      <c r="J1664" s="66"/>
    </row>
    <row r="1665">
      <c r="A1665" s="82"/>
      <c r="B1665" s="82"/>
      <c r="C1665" s="66"/>
      <c r="D1665" s="66"/>
      <c r="E1665" s="66"/>
      <c r="F1665" s="66"/>
      <c r="G1665" s="66"/>
      <c r="H1665" s="66"/>
      <c r="I1665" s="66"/>
      <c r="J1665" s="66"/>
    </row>
    <row r="1666">
      <c r="A1666" s="82"/>
      <c r="B1666" s="82"/>
      <c r="C1666" s="66"/>
      <c r="D1666" s="66"/>
      <c r="E1666" s="66"/>
      <c r="F1666" s="66"/>
      <c r="G1666" s="66"/>
      <c r="H1666" s="66"/>
      <c r="I1666" s="66"/>
      <c r="J1666" s="66"/>
    </row>
    <row r="1667">
      <c r="A1667" s="82"/>
      <c r="B1667" s="82"/>
      <c r="C1667" s="66"/>
      <c r="D1667" s="66"/>
      <c r="E1667" s="66"/>
      <c r="F1667" s="66"/>
      <c r="G1667" s="66"/>
      <c r="H1667" s="66"/>
      <c r="I1667" s="66"/>
      <c r="J1667" s="66"/>
    </row>
    <row r="1668">
      <c r="A1668" s="82"/>
      <c r="B1668" s="82"/>
      <c r="C1668" s="66"/>
      <c r="D1668" s="66"/>
      <c r="E1668" s="66"/>
      <c r="F1668" s="66"/>
      <c r="G1668" s="66"/>
      <c r="H1668" s="66"/>
      <c r="I1668" s="66"/>
      <c r="J1668" s="66"/>
    </row>
    <row r="1669">
      <c r="A1669" s="82"/>
      <c r="B1669" s="82"/>
      <c r="C1669" s="66"/>
      <c r="D1669" s="66"/>
      <c r="E1669" s="66"/>
      <c r="F1669" s="66"/>
      <c r="G1669" s="66"/>
      <c r="H1669" s="66"/>
      <c r="I1669" s="66"/>
      <c r="J1669" s="66"/>
    </row>
    <row r="1670">
      <c r="A1670" s="82"/>
      <c r="B1670" s="82"/>
      <c r="C1670" s="66"/>
      <c r="D1670" s="66"/>
      <c r="E1670" s="66"/>
      <c r="F1670" s="66"/>
      <c r="G1670" s="66"/>
      <c r="H1670" s="66"/>
      <c r="I1670" s="66"/>
      <c r="J1670" s="66"/>
    </row>
    <row r="1671">
      <c r="A1671" s="82"/>
      <c r="B1671" s="82"/>
      <c r="C1671" s="66"/>
      <c r="D1671" s="66"/>
      <c r="E1671" s="66"/>
      <c r="F1671" s="66"/>
      <c r="G1671" s="66"/>
      <c r="H1671" s="66"/>
      <c r="I1671" s="66"/>
      <c r="J1671" s="66"/>
    </row>
    <row r="1672">
      <c r="A1672" s="82"/>
      <c r="B1672" s="82"/>
      <c r="C1672" s="66"/>
      <c r="D1672" s="66"/>
      <c r="E1672" s="66"/>
      <c r="F1672" s="66"/>
      <c r="G1672" s="66"/>
      <c r="H1672" s="66"/>
      <c r="I1672" s="66"/>
      <c r="J1672" s="66"/>
    </row>
    <row r="1673">
      <c r="A1673" s="82"/>
      <c r="B1673" s="82"/>
      <c r="C1673" s="66"/>
      <c r="D1673" s="66"/>
      <c r="E1673" s="66"/>
      <c r="F1673" s="66"/>
      <c r="G1673" s="66"/>
      <c r="H1673" s="66"/>
      <c r="I1673" s="66"/>
      <c r="J1673" s="66"/>
    </row>
    <row r="1674">
      <c r="A1674" s="82"/>
      <c r="B1674" s="82"/>
      <c r="C1674" s="66"/>
      <c r="D1674" s="66"/>
      <c r="E1674" s="66"/>
      <c r="F1674" s="66"/>
      <c r="G1674" s="66"/>
      <c r="H1674" s="66"/>
      <c r="I1674" s="66"/>
      <c r="J1674" s="66"/>
    </row>
    <row r="1675">
      <c r="A1675" s="82"/>
      <c r="B1675" s="82"/>
      <c r="C1675" s="66"/>
      <c r="D1675" s="66"/>
      <c r="E1675" s="66"/>
      <c r="F1675" s="66"/>
      <c r="G1675" s="66"/>
      <c r="H1675" s="66"/>
      <c r="I1675" s="66"/>
      <c r="J1675" s="66"/>
    </row>
    <row r="1676">
      <c r="A1676" s="82"/>
      <c r="B1676" s="82"/>
      <c r="C1676" s="66"/>
      <c r="D1676" s="66"/>
      <c r="E1676" s="66"/>
      <c r="F1676" s="66"/>
      <c r="G1676" s="66"/>
      <c r="H1676" s="66"/>
      <c r="I1676" s="66"/>
      <c r="J1676" s="66"/>
    </row>
    <row r="1677">
      <c r="A1677" s="82"/>
      <c r="B1677" s="82"/>
      <c r="C1677" s="66"/>
      <c r="D1677" s="66"/>
      <c r="E1677" s="66"/>
      <c r="F1677" s="66"/>
      <c r="G1677" s="66"/>
      <c r="H1677" s="66"/>
      <c r="I1677" s="66"/>
      <c r="J1677" s="66"/>
    </row>
    <row r="1678">
      <c r="A1678" s="82"/>
      <c r="B1678" s="82"/>
      <c r="C1678" s="66"/>
      <c r="D1678" s="66"/>
      <c r="E1678" s="66"/>
      <c r="F1678" s="66"/>
      <c r="G1678" s="66"/>
      <c r="H1678" s="66"/>
      <c r="I1678" s="66"/>
      <c r="J1678" s="66"/>
    </row>
    <row r="1679">
      <c r="A1679" s="82"/>
      <c r="B1679" s="82"/>
      <c r="C1679" s="66"/>
      <c r="D1679" s="66"/>
      <c r="E1679" s="66"/>
      <c r="F1679" s="66"/>
      <c r="G1679" s="66"/>
      <c r="H1679" s="66"/>
      <c r="I1679" s="66"/>
      <c r="J1679" s="66"/>
    </row>
    <row r="1680">
      <c r="A1680" s="82"/>
      <c r="B1680" s="82"/>
      <c r="C1680" s="66"/>
      <c r="D1680" s="66"/>
      <c r="E1680" s="66"/>
      <c r="F1680" s="66"/>
      <c r="G1680" s="66"/>
      <c r="H1680" s="66"/>
      <c r="I1680" s="66"/>
      <c r="J1680" s="66"/>
    </row>
    <row r="1681">
      <c r="A1681" s="82"/>
      <c r="B1681" s="82"/>
      <c r="C1681" s="66"/>
      <c r="D1681" s="66"/>
      <c r="E1681" s="66"/>
      <c r="F1681" s="66"/>
      <c r="G1681" s="66"/>
      <c r="H1681" s="66"/>
      <c r="I1681" s="66"/>
      <c r="J1681" s="66"/>
    </row>
    <row r="1682">
      <c r="A1682" s="82"/>
      <c r="B1682" s="82"/>
      <c r="C1682" s="66"/>
      <c r="D1682" s="66"/>
      <c r="E1682" s="66"/>
      <c r="F1682" s="66"/>
      <c r="G1682" s="66"/>
      <c r="H1682" s="66"/>
      <c r="I1682" s="66"/>
      <c r="J1682" s="66"/>
    </row>
    <row r="1683">
      <c r="A1683" s="82"/>
      <c r="B1683" s="82"/>
      <c r="C1683" s="66"/>
      <c r="D1683" s="66"/>
      <c r="E1683" s="66"/>
      <c r="F1683" s="66"/>
      <c r="G1683" s="66"/>
      <c r="H1683" s="66"/>
      <c r="I1683" s="66"/>
      <c r="J1683" s="66"/>
    </row>
    <row r="1684">
      <c r="A1684" s="82"/>
      <c r="B1684" s="82"/>
      <c r="C1684" s="66"/>
      <c r="D1684" s="66"/>
      <c r="E1684" s="66"/>
      <c r="F1684" s="66"/>
      <c r="G1684" s="66"/>
      <c r="H1684" s="66"/>
      <c r="I1684" s="66"/>
      <c r="J1684" s="66"/>
    </row>
    <row r="1685">
      <c r="A1685" s="82"/>
      <c r="B1685" s="82"/>
      <c r="C1685" s="66"/>
      <c r="D1685" s="66"/>
      <c r="E1685" s="66"/>
      <c r="F1685" s="66"/>
      <c r="G1685" s="66"/>
      <c r="H1685" s="66"/>
      <c r="I1685" s="66"/>
      <c r="J1685" s="66"/>
    </row>
    <row r="1686">
      <c r="A1686" s="82"/>
      <c r="B1686" s="82"/>
      <c r="C1686" s="66"/>
      <c r="D1686" s="66"/>
      <c r="E1686" s="66"/>
      <c r="F1686" s="66"/>
      <c r="G1686" s="66"/>
      <c r="H1686" s="66"/>
      <c r="I1686" s="66"/>
      <c r="J1686" s="66"/>
    </row>
    <row r="1687">
      <c r="A1687" s="82"/>
      <c r="B1687" s="82"/>
      <c r="C1687" s="66"/>
      <c r="D1687" s="66"/>
      <c r="E1687" s="66"/>
      <c r="F1687" s="66"/>
      <c r="G1687" s="66"/>
      <c r="H1687" s="66"/>
      <c r="I1687" s="66"/>
      <c r="J1687" s="66"/>
    </row>
    <row r="1688">
      <c r="A1688" s="82"/>
      <c r="B1688" s="82"/>
      <c r="C1688" s="66"/>
      <c r="D1688" s="66"/>
      <c r="E1688" s="66"/>
      <c r="F1688" s="66"/>
      <c r="G1688" s="66"/>
      <c r="H1688" s="66"/>
      <c r="I1688" s="66"/>
      <c r="J1688" s="66"/>
    </row>
    <row r="1689">
      <c r="A1689" s="82"/>
      <c r="B1689" s="82"/>
      <c r="C1689" s="66"/>
      <c r="D1689" s="66"/>
      <c r="E1689" s="66"/>
      <c r="F1689" s="66"/>
      <c r="G1689" s="66"/>
      <c r="H1689" s="66"/>
      <c r="I1689" s="66"/>
      <c r="J1689" s="66"/>
    </row>
    <row r="1690">
      <c r="A1690" s="82"/>
      <c r="B1690" s="82"/>
      <c r="C1690" s="66"/>
      <c r="D1690" s="66"/>
      <c r="E1690" s="66"/>
      <c r="F1690" s="66"/>
      <c r="G1690" s="66"/>
      <c r="H1690" s="66"/>
      <c r="I1690" s="66"/>
      <c r="J1690" s="66"/>
    </row>
    <row r="1691">
      <c r="A1691" s="82"/>
      <c r="B1691" s="82"/>
      <c r="C1691" s="66"/>
      <c r="D1691" s="66"/>
      <c r="E1691" s="66"/>
      <c r="F1691" s="66"/>
      <c r="G1691" s="66"/>
      <c r="H1691" s="66"/>
      <c r="I1691" s="66"/>
      <c r="J1691" s="66"/>
    </row>
    <row r="1692">
      <c r="A1692" s="82"/>
      <c r="B1692" s="82"/>
      <c r="C1692" s="66"/>
      <c r="D1692" s="66"/>
      <c r="E1692" s="66"/>
      <c r="F1692" s="66"/>
      <c r="G1692" s="66"/>
      <c r="H1692" s="66"/>
      <c r="I1692" s="66"/>
      <c r="J1692" s="66"/>
    </row>
    <row r="1693">
      <c r="A1693" s="82"/>
      <c r="B1693" s="82"/>
      <c r="C1693" s="66"/>
      <c r="D1693" s="66"/>
      <c r="E1693" s="66"/>
      <c r="F1693" s="66"/>
      <c r="G1693" s="66"/>
      <c r="H1693" s="66"/>
      <c r="I1693" s="66"/>
      <c r="J1693" s="66"/>
    </row>
    <row r="1694">
      <c r="A1694" s="82"/>
      <c r="B1694" s="82"/>
      <c r="C1694" s="66"/>
      <c r="D1694" s="66"/>
      <c r="E1694" s="66"/>
      <c r="F1694" s="66"/>
      <c r="G1694" s="66"/>
      <c r="H1694" s="66"/>
      <c r="I1694" s="66"/>
      <c r="J1694" s="66"/>
    </row>
    <row r="1695">
      <c r="A1695" s="82"/>
      <c r="B1695" s="82"/>
      <c r="C1695" s="66"/>
      <c r="D1695" s="66"/>
      <c r="E1695" s="66"/>
      <c r="F1695" s="66"/>
      <c r="G1695" s="66"/>
      <c r="H1695" s="66"/>
      <c r="I1695" s="66"/>
      <c r="J1695" s="66"/>
    </row>
    <row r="1696">
      <c r="A1696" s="82"/>
      <c r="B1696" s="82"/>
      <c r="C1696" s="66"/>
      <c r="D1696" s="66"/>
      <c r="E1696" s="66"/>
      <c r="F1696" s="66"/>
      <c r="G1696" s="66"/>
      <c r="H1696" s="66"/>
      <c r="I1696" s="66"/>
      <c r="J1696" s="66"/>
    </row>
    <row r="1697">
      <c r="A1697" s="82"/>
      <c r="B1697" s="82"/>
      <c r="C1697" s="66"/>
      <c r="D1697" s="66"/>
      <c r="E1697" s="66"/>
      <c r="F1697" s="66"/>
      <c r="G1697" s="66"/>
      <c r="H1697" s="66"/>
      <c r="I1697" s="66"/>
      <c r="J1697" s="66"/>
    </row>
    <row r="1698">
      <c r="A1698" s="82"/>
      <c r="B1698" s="82"/>
      <c r="C1698" s="66"/>
      <c r="D1698" s="66"/>
      <c r="E1698" s="66"/>
      <c r="F1698" s="66"/>
      <c r="G1698" s="66"/>
      <c r="H1698" s="66"/>
      <c r="I1698" s="66"/>
      <c r="J1698" s="66"/>
    </row>
    <row r="1699">
      <c r="A1699" s="82"/>
      <c r="B1699" s="82"/>
      <c r="C1699" s="66"/>
      <c r="D1699" s="66"/>
      <c r="E1699" s="66"/>
      <c r="F1699" s="66"/>
      <c r="G1699" s="66"/>
      <c r="H1699" s="66"/>
      <c r="I1699" s="66"/>
      <c r="J1699" s="66"/>
    </row>
    <row r="1700">
      <c r="A1700" s="82"/>
      <c r="B1700" s="82"/>
      <c r="C1700" s="66"/>
      <c r="D1700" s="66"/>
      <c r="E1700" s="66"/>
      <c r="F1700" s="66"/>
      <c r="G1700" s="66"/>
      <c r="H1700" s="66"/>
      <c r="I1700" s="66"/>
      <c r="J1700" s="66"/>
    </row>
    <row r="1701">
      <c r="A1701" s="82"/>
      <c r="B1701" s="82"/>
      <c r="C1701" s="66"/>
      <c r="D1701" s="66"/>
      <c r="E1701" s="66"/>
      <c r="F1701" s="66"/>
      <c r="G1701" s="66"/>
      <c r="H1701" s="66"/>
      <c r="I1701" s="66"/>
      <c r="J1701" s="66"/>
    </row>
    <row r="1702">
      <c r="A1702" s="82"/>
      <c r="B1702" s="82"/>
      <c r="C1702" s="66"/>
      <c r="D1702" s="66"/>
      <c r="E1702" s="66"/>
      <c r="F1702" s="66"/>
      <c r="G1702" s="66"/>
      <c r="H1702" s="66"/>
      <c r="I1702" s="66"/>
      <c r="J1702" s="66"/>
    </row>
    <row r="1703">
      <c r="A1703" s="82"/>
      <c r="B1703" s="82"/>
      <c r="C1703" s="66"/>
      <c r="D1703" s="66"/>
      <c r="E1703" s="66"/>
      <c r="F1703" s="66"/>
      <c r="G1703" s="66"/>
      <c r="H1703" s="66"/>
      <c r="I1703" s="66"/>
      <c r="J1703" s="66"/>
    </row>
    <row r="1704">
      <c r="A1704" s="82"/>
      <c r="B1704" s="82"/>
      <c r="C1704" s="66"/>
      <c r="D1704" s="66"/>
      <c r="E1704" s="66"/>
      <c r="F1704" s="66"/>
      <c r="G1704" s="66"/>
      <c r="H1704" s="66"/>
      <c r="I1704" s="66"/>
      <c r="J1704" s="66"/>
    </row>
    <row r="1705">
      <c r="A1705" s="82"/>
      <c r="B1705" s="82"/>
      <c r="C1705" s="66"/>
      <c r="D1705" s="66"/>
      <c r="E1705" s="66"/>
      <c r="F1705" s="66"/>
      <c r="G1705" s="66"/>
      <c r="H1705" s="66"/>
      <c r="I1705" s="66"/>
      <c r="J1705" s="66"/>
    </row>
    <row r="1706">
      <c r="A1706" s="82"/>
      <c r="B1706" s="82"/>
      <c r="C1706" s="66"/>
      <c r="D1706" s="66"/>
      <c r="E1706" s="66"/>
      <c r="F1706" s="66"/>
      <c r="G1706" s="66"/>
      <c r="H1706" s="66"/>
      <c r="I1706" s="66"/>
      <c r="J1706" s="66"/>
    </row>
    <row r="1707">
      <c r="A1707" s="82"/>
      <c r="B1707" s="82"/>
      <c r="C1707" s="66"/>
      <c r="D1707" s="66"/>
      <c r="E1707" s="66"/>
      <c r="F1707" s="66"/>
      <c r="G1707" s="66"/>
      <c r="H1707" s="66"/>
      <c r="I1707" s="66"/>
      <c r="J1707" s="66"/>
    </row>
    <row r="1708">
      <c r="A1708" s="82"/>
      <c r="B1708" s="82"/>
      <c r="C1708" s="66"/>
      <c r="D1708" s="66"/>
      <c r="E1708" s="66"/>
      <c r="F1708" s="66"/>
      <c r="G1708" s="66"/>
      <c r="H1708" s="66"/>
      <c r="I1708" s="66"/>
      <c r="J1708" s="66"/>
    </row>
    <row r="1709">
      <c r="A1709" s="82"/>
      <c r="B1709" s="82"/>
      <c r="C1709" s="66"/>
      <c r="D1709" s="66"/>
      <c r="E1709" s="66"/>
      <c r="F1709" s="66"/>
      <c r="G1709" s="66"/>
      <c r="H1709" s="66"/>
      <c r="I1709" s="66"/>
      <c r="J1709" s="66"/>
    </row>
    <row r="1710">
      <c r="A1710" s="82"/>
      <c r="B1710" s="82"/>
      <c r="C1710" s="66"/>
      <c r="D1710" s="66"/>
      <c r="E1710" s="66"/>
      <c r="F1710" s="66"/>
      <c r="G1710" s="66"/>
      <c r="H1710" s="66"/>
      <c r="I1710" s="66"/>
      <c r="J1710" s="66"/>
    </row>
    <row r="1711">
      <c r="A1711" s="82"/>
      <c r="B1711" s="82"/>
      <c r="C1711" s="66"/>
      <c r="D1711" s="66"/>
      <c r="E1711" s="66"/>
      <c r="F1711" s="66"/>
      <c r="G1711" s="66"/>
      <c r="H1711" s="66"/>
      <c r="I1711" s="66"/>
      <c r="J1711" s="66"/>
    </row>
    <row r="1712">
      <c r="A1712" s="82"/>
      <c r="B1712" s="82"/>
      <c r="C1712" s="66"/>
      <c r="D1712" s="66"/>
      <c r="E1712" s="66"/>
      <c r="F1712" s="66"/>
      <c r="G1712" s="66"/>
      <c r="H1712" s="66"/>
      <c r="I1712" s="66"/>
      <c r="J1712" s="66"/>
    </row>
    <row r="1713">
      <c r="A1713" s="82"/>
      <c r="B1713" s="82"/>
      <c r="C1713" s="66"/>
      <c r="D1713" s="66"/>
      <c r="E1713" s="66"/>
      <c r="F1713" s="66"/>
      <c r="G1713" s="66"/>
      <c r="H1713" s="66"/>
      <c r="I1713" s="66"/>
      <c r="J1713" s="66"/>
    </row>
    <row r="1714">
      <c r="A1714" s="82"/>
      <c r="B1714" s="82"/>
      <c r="C1714" s="66"/>
      <c r="D1714" s="66"/>
      <c r="E1714" s="66"/>
      <c r="F1714" s="66"/>
      <c r="G1714" s="66"/>
      <c r="H1714" s="66"/>
      <c r="I1714" s="66"/>
      <c r="J1714" s="66"/>
    </row>
    <row r="1715">
      <c r="A1715" s="82"/>
      <c r="B1715" s="82"/>
      <c r="C1715" s="66"/>
      <c r="D1715" s="66"/>
      <c r="E1715" s="66"/>
      <c r="F1715" s="66"/>
      <c r="G1715" s="66"/>
      <c r="H1715" s="66"/>
      <c r="I1715" s="66"/>
      <c r="J1715" s="66"/>
    </row>
    <row r="1716">
      <c r="A1716" s="82"/>
      <c r="B1716" s="82"/>
      <c r="C1716" s="66"/>
      <c r="D1716" s="66"/>
      <c r="E1716" s="66"/>
      <c r="F1716" s="66"/>
      <c r="G1716" s="66"/>
      <c r="H1716" s="66"/>
      <c r="I1716" s="66"/>
      <c r="J1716" s="66"/>
    </row>
    <row r="1717">
      <c r="A1717" s="82"/>
      <c r="B1717" s="82"/>
      <c r="C1717" s="66"/>
      <c r="D1717" s="66"/>
      <c r="E1717" s="66"/>
      <c r="F1717" s="66"/>
      <c r="G1717" s="66"/>
      <c r="H1717" s="66"/>
      <c r="I1717" s="66"/>
      <c r="J1717" s="66"/>
    </row>
    <row r="1718">
      <c r="A1718" s="82"/>
      <c r="B1718" s="82"/>
      <c r="C1718" s="66"/>
      <c r="D1718" s="66"/>
      <c r="E1718" s="66"/>
      <c r="F1718" s="66"/>
      <c r="G1718" s="66"/>
      <c r="H1718" s="66"/>
      <c r="I1718" s="66"/>
      <c r="J1718" s="66"/>
    </row>
    <row r="1719">
      <c r="A1719" s="82"/>
      <c r="B1719" s="82"/>
      <c r="C1719" s="66"/>
      <c r="D1719" s="66"/>
      <c r="E1719" s="66"/>
      <c r="F1719" s="66"/>
      <c r="G1719" s="66"/>
      <c r="H1719" s="66"/>
      <c r="I1719" s="66"/>
      <c r="J1719" s="66"/>
    </row>
    <row r="1720">
      <c r="A1720" s="82"/>
      <c r="B1720" s="82"/>
      <c r="C1720" s="66"/>
      <c r="D1720" s="66"/>
      <c r="E1720" s="66"/>
      <c r="F1720" s="66"/>
      <c r="G1720" s="66"/>
      <c r="H1720" s="66"/>
      <c r="I1720" s="66"/>
      <c r="J1720" s="66"/>
    </row>
    <row r="1721">
      <c r="A1721" s="82"/>
      <c r="B1721" s="82"/>
      <c r="C1721" s="66"/>
      <c r="D1721" s="66"/>
      <c r="E1721" s="66"/>
      <c r="F1721" s="66"/>
      <c r="G1721" s="66"/>
      <c r="H1721" s="66"/>
      <c r="I1721" s="66"/>
      <c r="J1721" s="66"/>
    </row>
    <row r="1722">
      <c r="A1722" s="82"/>
      <c r="B1722" s="82"/>
      <c r="C1722" s="66"/>
      <c r="D1722" s="66"/>
      <c r="E1722" s="66"/>
      <c r="F1722" s="66"/>
      <c r="G1722" s="66"/>
      <c r="H1722" s="66"/>
      <c r="I1722" s="66"/>
      <c r="J1722" s="66"/>
    </row>
    <row r="1723">
      <c r="A1723" s="82"/>
      <c r="B1723" s="82"/>
      <c r="C1723" s="66"/>
      <c r="D1723" s="66"/>
      <c r="E1723" s="66"/>
      <c r="F1723" s="66"/>
      <c r="G1723" s="66"/>
      <c r="H1723" s="66"/>
      <c r="I1723" s="66"/>
      <c r="J1723" s="66"/>
    </row>
    <row r="1724">
      <c r="A1724" s="82"/>
      <c r="B1724" s="82"/>
      <c r="C1724" s="66"/>
      <c r="D1724" s="66"/>
      <c r="E1724" s="66"/>
      <c r="F1724" s="66"/>
      <c r="G1724" s="66"/>
      <c r="H1724" s="66"/>
      <c r="I1724" s="66"/>
      <c r="J1724" s="66"/>
    </row>
    <row r="1725">
      <c r="A1725" s="82"/>
      <c r="B1725" s="82"/>
      <c r="C1725" s="66"/>
      <c r="D1725" s="66"/>
      <c r="E1725" s="66"/>
      <c r="F1725" s="66"/>
      <c r="G1725" s="66"/>
      <c r="H1725" s="66"/>
      <c r="I1725" s="66"/>
      <c r="J1725" s="66"/>
    </row>
    <row r="1726">
      <c r="A1726" s="82"/>
      <c r="B1726" s="82"/>
      <c r="C1726" s="66"/>
      <c r="D1726" s="66"/>
      <c r="E1726" s="66"/>
      <c r="F1726" s="66"/>
      <c r="G1726" s="66"/>
      <c r="H1726" s="66"/>
      <c r="I1726" s="66"/>
      <c r="J1726" s="66"/>
    </row>
    <row r="1727">
      <c r="A1727" s="82"/>
      <c r="B1727" s="82"/>
      <c r="C1727" s="66"/>
      <c r="D1727" s="66"/>
      <c r="E1727" s="66"/>
      <c r="F1727" s="66"/>
      <c r="G1727" s="66"/>
      <c r="H1727" s="66"/>
      <c r="I1727" s="66"/>
      <c r="J1727" s="66"/>
    </row>
    <row r="1728">
      <c r="A1728" s="82"/>
      <c r="B1728" s="82"/>
      <c r="C1728" s="66"/>
      <c r="D1728" s="66"/>
      <c r="E1728" s="66"/>
      <c r="F1728" s="66"/>
      <c r="G1728" s="66"/>
      <c r="H1728" s="66"/>
      <c r="I1728" s="66"/>
      <c r="J1728" s="66"/>
    </row>
    <row r="1729">
      <c r="A1729" s="82"/>
      <c r="B1729" s="82"/>
      <c r="C1729" s="66"/>
      <c r="D1729" s="66"/>
      <c r="E1729" s="66"/>
      <c r="F1729" s="66"/>
      <c r="G1729" s="66"/>
      <c r="H1729" s="66"/>
      <c r="I1729" s="66"/>
      <c r="J1729" s="66"/>
    </row>
    <row r="1730">
      <c r="A1730" s="82"/>
      <c r="B1730" s="82"/>
      <c r="C1730" s="66"/>
      <c r="D1730" s="66"/>
      <c r="E1730" s="66"/>
      <c r="F1730" s="66"/>
      <c r="G1730" s="66"/>
      <c r="H1730" s="66"/>
      <c r="I1730" s="66"/>
      <c r="J1730" s="66"/>
    </row>
    <row r="1731">
      <c r="A1731" s="82"/>
      <c r="B1731" s="82"/>
      <c r="C1731" s="66"/>
      <c r="D1731" s="66"/>
      <c r="E1731" s="66"/>
      <c r="F1731" s="66"/>
      <c r="G1731" s="66"/>
      <c r="H1731" s="66"/>
      <c r="I1731" s="66"/>
      <c r="J1731" s="66"/>
    </row>
    <row r="1732">
      <c r="A1732" s="82"/>
      <c r="B1732" s="82"/>
      <c r="C1732" s="66"/>
      <c r="D1732" s="66"/>
      <c r="E1732" s="66"/>
      <c r="F1732" s="66"/>
      <c r="G1732" s="66"/>
      <c r="H1732" s="66"/>
      <c r="I1732" s="66"/>
      <c r="J1732" s="66"/>
    </row>
    <row r="1733">
      <c r="A1733" s="82"/>
      <c r="B1733" s="82"/>
      <c r="C1733" s="66"/>
      <c r="D1733" s="66"/>
      <c r="E1733" s="66"/>
      <c r="F1733" s="66"/>
      <c r="G1733" s="66"/>
      <c r="H1733" s="66"/>
      <c r="I1733" s="66"/>
      <c r="J1733" s="66"/>
    </row>
    <row r="1734">
      <c r="A1734" s="82"/>
      <c r="B1734" s="82"/>
      <c r="C1734" s="66"/>
      <c r="D1734" s="66"/>
      <c r="E1734" s="66"/>
      <c r="F1734" s="66"/>
      <c r="G1734" s="66"/>
      <c r="H1734" s="66"/>
      <c r="I1734" s="66"/>
      <c r="J1734" s="66"/>
    </row>
    <row r="1735">
      <c r="A1735" s="82"/>
      <c r="B1735" s="82"/>
      <c r="C1735" s="66"/>
      <c r="D1735" s="66"/>
      <c r="E1735" s="66"/>
      <c r="F1735" s="66"/>
      <c r="G1735" s="66"/>
      <c r="H1735" s="66"/>
      <c r="I1735" s="66"/>
      <c r="J1735" s="66"/>
    </row>
    <row r="1736">
      <c r="A1736" s="82"/>
      <c r="B1736" s="82"/>
      <c r="C1736" s="66"/>
      <c r="D1736" s="66"/>
      <c r="E1736" s="66"/>
      <c r="F1736" s="66"/>
      <c r="G1736" s="66"/>
      <c r="H1736" s="66"/>
      <c r="I1736" s="66"/>
      <c r="J1736" s="66"/>
    </row>
    <row r="1737">
      <c r="A1737" s="82"/>
      <c r="B1737" s="82"/>
      <c r="C1737" s="66"/>
      <c r="D1737" s="66"/>
      <c r="E1737" s="66"/>
      <c r="F1737" s="66"/>
      <c r="G1737" s="66"/>
      <c r="H1737" s="66"/>
      <c r="I1737" s="66"/>
      <c r="J1737" s="66"/>
    </row>
    <row r="1738">
      <c r="A1738" s="82"/>
      <c r="B1738" s="82"/>
      <c r="C1738" s="66"/>
      <c r="D1738" s="66"/>
      <c r="E1738" s="66"/>
      <c r="F1738" s="66"/>
      <c r="G1738" s="66"/>
      <c r="H1738" s="66"/>
      <c r="I1738" s="66"/>
      <c r="J1738" s="66"/>
    </row>
    <row r="1739">
      <c r="A1739" s="82"/>
      <c r="B1739" s="82"/>
      <c r="C1739" s="66"/>
      <c r="D1739" s="66"/>
      <c r="E1739" s="66"/>
      <c r="F1739" s="66"/>
      <c r="G1739" s="66"/>
      <c r="H1739" s="66"/>
      <c r="I1739" s="66"/>
      <c r="J1739" s="66"/>
    </row>
    <row r="1740">
      <c r="A1740" s="82"/>
      <c r="B1740" s="82"/>
      <c r="C1740" s="66"/>
      <c r="D1740" s="66"/>
      <c r="E1740" s="66"/>
      <c r="F1740" s="66"/>
      <c r="G1740" s="66"/>
      <c r="H1740" s="66"/>
      <c r="I1740" s="66"/>
      <c r="J1740" s="66"/>
    </row>
    <row r="1741">
      <c r="A1741" s="82"/>
      <c r="B1741" s="82"/>
      <c r="C1741" s="66"/>
      <c r="D1741" s="66"/>
      <c r="E1741" s="66"/>
      <c r="F1741" s="66"/>
      <c r="G1741" s="66"/>
      <c r="H1741" s="66"/>
      <c r="I1741" s="66"/>
      <c r="J1741" s="66"/>
    </row>
    <row r="1742">
      <c r="A1742" s="82"/>
      <c r="B1742" s="82"/>
      <c r="C1742" s="66"/>
      <c r="D1742" s="66"/>
      <c r="E1742" s="66"/>
      <c r="F1742" s="66"/>
      <c r="G1742" s="66"/>
      <c r="H1742" s="66"/>
      <c r="I1742" s="66"/>
      <c r="J1742" s="66"/>
    </row>
    <row r="1743">
      <c r="A1743" s="82"/>
      <c r="B1743" s="82"/>
      <c r="C1743" s="66"/>
      <c r="D1743" s="66"/>
      <c r="E1743" s="66"/>
      <c r="F1743" s="66"/>
      <c r="G1743" s="66"/>
      <c r="H1743" s="66"/>
      <c r="I1743" s="66"/>
      <c r="J1743" s="66"/>
    </row>
    <row r="1744">
      <c r="A1744" s="82"/>
      <c r="B1744" s="82"/>
      <c r="C1744" s="66"/>
      <c r="D1744" s="66"/>
      <c r="E1744" s="66"/>
      <c r="F1744" s="66"/>
      <c r="G1744" s="66"/>
      <c r="H1744" s="66"/>
      <c r="I1744" s="66"/>
      <c r="J1744" s="66"/>
    </row>
    <row r="1745">
      <c r="A1745" s="82"/>
      <c r="B1745" s="82"/>
      <c r="C1745" s="66"/>
      <c r="D1745" s="66"/>
      <c r="E1745" s="66"/>
      <c r="F1745" s="66"/>
      <c r="G1745" s="66"/>
      <c r="H1745" s="66"/>
      <c r="I1745" s="66"/>
      <c r="J1745" s="66"/>
    </row>
    <row r="1746">
      <c r="A1746" s="82"/>
      <c r="B1746" s="82"/>
      <c r="C1746" s="66"/>
      <c r="D1746" s="66"/>
      <c r="E1746" s="66"/>
      <c r="F1746" s="66"/>
      <c r="G1746" s="66"/>
      <c r="H1746" s="66"/>
      <c r="I1746" s="66"/>
      <c r="J1746" s="66"/>
    </row>
    <row r="1747">
      <c r="A1747" s="82"/>
      <c r="B1747" s="82"/>
      <c r="C1747" s="66"/>
      <c r="D1747" s="66"/>
      <c r="E1747" s="66"/>
      <c r="F1747" s="66"/>
      <c r="G1747" s="66"/>
      <c r="H1747" s="66"/>
      <c r="I1747" s="66"/>
      <c r="J1747" s="66"/>
    </row>
    <row r="1748">
      <c r="A1748" s="82"/>
      <c r="B1748" s="82"/>
      <c r="C1748" s="66"/>
      <c r="D1748" s="66"/>
      <c r="E1748" s="66"/>
      <c r="F1748" s="66"/>
      <c r="G1748" s="66"/>
      <c r="H1748" s="66"/>
      <c r="I1748" s="66"/>
      <c r="J1748" s="66"/>
    </row>
    <row r="1749">
      <c r="A1749" s="82"/>
      <c r="B1749" s="82"/>
      <c r="C1749" s="66"/>
      <c r="D1749" s="66"/>
      <c r="E1749" s="66"/>
      <c r="F1749" s="66"/>
      <c r="G1749" s="66"/>
      <c r="H1749" s="66"/>
      <c r="I1749" s="66"/>
      <c r="J1749" s="66"/>
    </row>
    <row r="1750">
      <c r="A1750" s="82"/>
      <c r="B1750" s="82"/>
      <c r="C1750" s="66"/>
      <c r="D1750" s="66"/>
      <c r="E1750" s="66"/>
      <c r="F1750" s="66"/>
      <c r="G1750" s="66"/>
      <c r="H1750" s="66"/>
      <c r="I1750" s="66"/>
      <c r="J1750" s="66"/>
    </row>
    <row r="1751">
      <c r="A1751" s="82"/>
      <c r="B1751" s="82"/>
      <c r="C1751" s="66"/>
      <c r="D1751" s="66"/>
      <c r="E1751" s="66"/>
      <c r="F1751" s="66"/>
      <c r="G1751" s="66"/>
      <c r="H1751" s="66"/>
      <c r="I1751" s="66"/>
      <c r="J1751" s="66"/>
    </row>
    <row r="1752">
      <c r="A1752" s="82"/>
      <c r="B1752" s="82"/>
      <c r="C1752" s="66"/>
      <c r="D1752" s="66"/>
      <c r="E1752" s="66"/>
      <c r="F1752" s="66"/>
      <c r="G1752" s="66"/>
      <c r="H1752" s="66"/>
      <c r="I1752" s="66"/>
      <c r="J1752" s="66"/>
    </row>
    <row r="1753">
      <c r="A1753" s="82"/>
      <c r="B1753" s="82"/>
      <c r="C1753" s="66"/>
      <c r="D1753" s="66"/>
      <c r="E1753" s="66"/>
      <c r="F1753" s="66"/>
      <c r="G1753" s="66"/>
      <c r="H1753" s="66"/>
      <c r="I1753" s="66"/>
      <c r="J1753" s="66"/>
    </row>
    <row r="1754">
      <c r="A1754" s="82"/>
      <c r="B1754" s="82"/>
      <c r="C1754" s="66"/>
      <c r="D1754" s="66"/>
      <c r="E1754" s="66"/>
      <c r="F1754" s="66"/>
      <c r="G1754" s="66"/>
      <c r="H1754" s="66"/>
      <c r="I1754" s="66"/>
      <c r="J1754" s="66"/>
    </row>
    <row r="1755">
      <c r="A1755" s="82"/>
      <c r="B1755" s="82"/>
      <c r="C1755" s="66"/>
      <c r="D1755" s="66"/>
      <c r="E1755" s="66"/>
      <c r="F1755" s="66"/>
      <c r="G1755" s="66"/>
      <c r="H1755" s="66"/>
      <c r="I1755" s="66"/>
      <c r="J1755" s="66"/>
    </row>
    <row r="1756">
      <c r="A1756" s="82"/>
      <c r="B1756" s="82"/>
      <c r="C1756" s="66"/>
      <c r="D1756" s="66"/>
      <c r="E1756" s="66"/>
      <c r="F1756" s="66"/>
      <c r="G1756" s="66"/>
      <c r="H1756" s="66"/>
      <c r="I1756" s="66"/>
      <c r="J1756" s="66"/>
    </row>
    <row r="1757">
      <c r="A1757" s="82"/>
      <c r="B1757" s="82"/>
      <c r="C1757" s="66"/>
      <c r="D1757" s="66"/>
      <c r="E1757" s="66"/>
      <c r="F1757" s="66"/>
      <c r="G1757" s="66"/>
      <c r="H1757" s="66"/>
      <c r="I1757" s="66"/>
      <c r="J1757" s="66"/>
    </row>
    <row r="1758">
      <c r="A1758" s="82"/>
      <c r="B1758" s="82"/>
      <c r="C1758" s="66"/>
      <c r="D1758" s="66"/>
      <c r="E1758" s="66"/>
      <c r="F1758" s="66"/>
      <c r="G1758" s="66"/>
      <c r="H1758" s="66"/>
      <c r="I1758" s="66"/>
      <c r="J1758" s="66"/>
    </row>
    <row r="1759">
      <c r="A1759" s="82"/>
      <c r="B1759" s="82"/>
      <c r="C1759" s="66"/>
      <c r="D1759" s="66"/>
      <c r="E1759" s="66"/>
      <c r="F1759" s="66"/>
      <c r="G1759" s="66"/>
      <c r="H1759" s="66"/>
      <c r="I1759" s="66"/>
      <c r="J1759" s="66"/>
    </row>
    <row r="1760">
      <c r="A1760" s="82"/>
      <c r="B1760" s="82"/>
      <c r="C1760" s="66"/>
      <c r="D1760" s="66"/>
      <c r="E1760" s="66"/>
      <c r="F1760" s="66"/>
      <c r="G1760" s="66"/>
      <c r="H1760" s="66"/>
      <c r="I1760" s="66"/>
      <c r="J1760" s="66"/>
    </row>
    <row r="1761">
      <c r="A1761" s="82"/>
      <c r="B1761" s="82"/>
      <c r="C1761" s="66"/>
      <c r="D1761" s="66"/>
      <c r="E1761" s="66"/>
      <c r="F1761" s="66"/>
      <c r="G1761" s="66"/>
      <c r="H1761" s="66"/>
      <c r="I1761" s="66"/>
      <c r="J1761" s="66"/>
    </row>
    <row r="1762">
      <c r="A1762" s="82"/>
      <c r="B1762" s="82"/>
      <c r="C1762" s="66"/>
      <c r="D1762" s="66"/>
      <c r="E1762" s="66"/>
      <c r="F1762" s="66"/>
      <c r="G1762" s="66"/>
      <c r="H1762" s="66"/>
      <c r="I1762" s="66"/>
      <c r="J1762" s="66"/>
    </row>
    <row r="1763">
      <c r="A1763" s="82"/>
      <c r="B1763" s="82"/>
      <c r="C1763" s="66"/>
      <c r="D1763" s="66"/>
      <c r="E1763" s="66"/>
      <c r="F1763" s="66"/>
      <c r="G1763" s="66"/>
      <c r="H1763" s="66"/>
      <c r="I1763" s="66"/>
      <c r="J1763" s="66"/>
    </row>
    <row r="1764">
      <c r="A1764" s="82"/>
      <c r="B1764" s="82"/>
      <c r="C1764" s="66"/>
      <c r="D1764" s="66"/>
      <c r="E1764" s="66"/>
      <c r="F1764" s="66"/>
      <c r="G1764" s="66"/>
      <c r="H1764" s="66"/>
      <c r="I1764" s="66"/>
      <c r="J1764" s="66"/>
    </row>
    <row r="1765">
      <c r="A1765" s="82"/>
      <c r="B1765" s="82"/>
      <c r="C1765" s="66"/>
      <c r="D1765" s="66"/>
      <c r="E1765" s="66"/>
      <c r="F1765" s="66"/>
      <c r="G1765" s="66"/>
      <c r="H1765" s="66"/>
      <c r="I1765" s="66"/>
      <c r="J1765" s="66"/>
    </row>
    <row r="1766">
      <c r="A1766" s="82"/>
      <c r="B1766" s="82"/>
      <c r="C1766" s="66"/>
      <c r="D1766" s="66"/>
      <c r="E1766" s="66"/>
      <c r="F1766" s="66"/>
      <c r="G1766" s="66"/>
      <c r="H1766" s="66"/>
      <c r="I1766" s="66"/>
      <c r="J1766" s="66"/>
    </row>
    <row r="1767">
      <c r="A1767" s="82"/>
      <c r="B1767" s="82"/>
      <c r="C1767" s="66"/>
      <c r="D1767" s="66"/>
      <c r="E1767" s="66"/>
      <c r="F1767" s="66"/>
      <c r="G1767" s="66"/>
      <c r="H1767" s="66"/>
      <c r="I1767" s="66"/>
      <c r="J1767" s="66"/>
    </row>
    <row r="1768">
      <c r="A1768" s="82"/>
      <c r="B1768" s="82"/>
      <c r="C1768" s="66"/>
      <c r="D1768" s="66"/>
      <c r="E1768" s="66"/>
      <c r="F1768" s="66"/>
      <c r="G1768" s="66"/>
      <c r="H1768" s="66"/>
      <c r="I1768" s="66"/>
      <c r="J1768" s="66"/>
    </row>
    <row r="1769">
      <c r="A1769" s="82"/>
      <c r="B1769" s="82"/>
      <c r="C1769" s="66"/>
      <c r="D1769" s="66"/>
      <c r="E1769" s="66"/>
      <c r="F1769" s="66"/>
      <c r="G1769" s="66"/>
      <c r="H1769" s="66"/>
      <c r="I1769" s="66"/>
      <c r="J1769" s="66"/>
    </row>
    <row r="1770">
      <c r="A1770" s="82"/>
      <c r="B1770" s="82"/>
      <c r="C1770" s="66"/>
      <c r="D1770" s="66"/>
      <c r="E1770" s="66"/>
      <c r="F1770" s="66"/>
      <c r="G1770" s="66"/>
      <c r="H1770" s="66"/>
      <c r="I1770" s="66"/>
      <c r="J1770" s="66"/>
    </row>
    <row r="1771">
      <c r="A1771" s="82"/>
      <c r="B1771" s="82"/>
      <c r="C1771" s="66"/>
      <c r="D1771" s="66"/>
      <c r="E1771" s="66"/>
      <c r="F1771" s="66"/>
      <c r="G1771" s="66"/>
      <c r="H1771" s="66"/>
      <c r="I1771" s="66"/>
      <c r="J1771" s="66"/>
    </row>
    <row r="1772">
      <c r="A1772" s="82"/>
      <c r="B1772" s="82"/>
      <c r="C1772" s="66"/>
      <c r="D1772" s="66"/>
      <c r="E1772" s="66"/>
      <c r="F1772" s="66"/>
      <c r="G1772" s="66"/>
      <c r="H1772" s="66"/>
      <c r="I1772" s="66"/>
      <c r="J1772" s="66"/>
    </row>
    <row r="1773">
      <c r="A1773" s="82"/>
      <c r="B1773" s="82"/>
      <c r="C1773" s="66"/>
      <c r="D1773" s="66"/>
      <c r="E1773" s="66"/>
      <c r="F1773" s="66"/>
      <c r="G1773" s="66"/>
      <c r="H1773" s="66"/>
      <c r="I1773" s="66"/>
      <c r="J1773" s="66"/>
    </row>
    <row r="1774">
      <c r="A1774" s="82"/>
      <c r="B1774" s="82"/>
      <c r="C1774" s="66"/>
      <c r="D1774" s="66"/>
      <c r="E1774" s="66"/>
      <c r="F1774" s="66"/>
      <c r="G1774" s="66"/>
      <c r="H1774" s="66"/>
      <c r="I1774" s="66"/>
      <c r="J1774" s="66"/>
    </row>
    <row r="1775">
      <c r="A1775" s="82"/>
      <c r="B1775" s="82"/>
      <c r="C1775" s="66"/>
      <c r="D1775" s="66"/>
      <c r="E1775" s="66"/>
      <c r="F1775" s="66"/>
      <c r="G1775" s="66"/>
      <c r="H1775" s="66"/>
      <c r="I1775" s="66"/>
      <c r="J1775" s="66"/>
    </row>
    <row r="1776">
      <c r="A1776" s="82"/>
      <c r="B1776" s="82"/>
      <c r="C1776" s="66"/>
      <c r="D1776" s="66"/>
      <c r="E1776" s="66"/>
      <c r="F1776" s="66"/>
      <c r="G1776" s="66"/>
      <c r="H1776" s="66"/>
      <c r="I1776" s="66"/>
      <c r="J1776" s="66"/>
    </row>
    <row r="1777">
      <c r="A1777" s="82"/>
      <c r="B1777" s="82"/>
      <c r="C1777" s="66"/>
      <c r="D1777" s="66"/>
      <c r="E1777" s="66"/>
      <c r="F1777" s="66"/>
      <c r="G1777" s="66"/>
      <c r="H1777" s="66"/>
      <c r="I1777" s="66"/>
      <c r="J1777" s="66"/>
    </row>
    <row r="1778">
      <c r="A1778" s="82"/>
      <c r="B1778" s="82"/>
      <c r="C1778" s="66"/>
      <c r="D1778" s="66"/>
      <c r="E1778" s="66"/>
      <c r="F1778" s="66"/>
      <c r="G1778" s="66"/>
      <c r="H1778" s="66"/>
      <c r="I1778" s="66"/>
      <c r="J1778" s="66"/>
    </row>
    <row r="1779">
      <c r="A1779" s="82"/>
      <c r="B1779" s="82"/>
      <c r="C1779" s="66"/>
      <c r="D1779" s="66"/>
      <c r="E1779" s="66"/>
      <c r="F1779" s="66"/>
      <c r="G1779" s="66"/>
      <c r="H1779" s="66"/>
      <c r="I1779" s="66"/>
      <c r="J1779" s="66"/>
    </row>
    <row r="1780">
      <c r="A1780" s="82"/>
      <c r="B1780" s="82"/>
      <c r="C1780" s="66"/>
      <c r="D1780" s="66"/>
      <c r="E1780" s="66"/>
      <c r="F1780" s="66"/>
      <c r="G1780" s="66"/>
      <c r="H1780" s="66"/>
      <c r="I1780" s="66"/>
      <c r="J1780" s="66"/>
    </row>
    <row r="1781">
      <c r="A1781" s="82"/>
      <c r="B1781" s="82"/>
      <c r="C1781" s="66"/>
      <c r="D1781" s="66"/>
      <c r="E1781" s="66"/>
      <c r="F1781" s="66"/>
      <c r="G1781" s="66"/>
      <c r="H1781" s="66"/>
      <c r="I1781" s="66"/>
      <c r="J1781" s="66"/>
    </row>
    <row r="1782">
      <c r="A1782" s="82"/>
      <c r="B1782" s="82"/>
      <c r="C1782" s="66"/>
      <c r="D1782" s="66"/>
      <c r="E1782" s="66"/>
      <c r="F1782" s="66"/>
      <c r="G1782" s="66"/>
      <c r="H1782" s="66"/>
      <c r="I1782" s="66"/>
      <c r="J1782" s="66"/>
    </row>
    <row r="1783">
      <c r="A1783" s="82"/>
      <c r="B1783" s="82"/>
      <c r="C1783" s="66"/>
      <c r="D1783" s="66"/>
      <c r="E1783" s="66"/>
      <c r="F1783" s="66"/>
      <c r="G1783" s="66"/>
      <c r="H1783" s="66"/>
      <c r="I1783" s="66"/>
      <c r="J1783" s="66"/>
    </row>
    <row r="1784">
      <c r="A1784" s="82"/>
      <c r="B1784" s="82"/>
      <c r="C1784" s="66"/>
      <c r="D1784" s="66"/>
      <c r="E1784" s="66"/>
      <c r="F1784" s="66"/>
      <c r="G1784" s="66"/>
      <c r="H1784" s="66"/>
      <c r="I1784" s="66"/>
      <c r="J1784" s="66"/>
    </row>
    <row r="1785">
      <c r="A1785" s="82"/>
      <c r="B1785" s="82"/>
      <c r="C1785" s="66"/>
      <c r="D1785" s="66"/>
      <c r="E1785" s="66"/>
      <c r="F1785" s="66"/>
      <c r="G1785" s="66"/>
      <c r="H1785" s="66"/>
      <c r="I1785" s="66"/>
      <c r="J1785" s="66"/>
    </row>
    <row r="1786">
      <c r="A1786" s="82"/>
      <c r="B1786" s="82"/>
      <c r="C1786" s="66"/>
      <c r="D1786" s="66"/>
      <c r="E1786" s="66"/>
      <c r="F1786" s="66"/>
      <c r="G1786" s="66"/>
      <c r="H1786" s="66"/>
      <c r="I1786" s="66"/>
      <c r="J1786" s="66"/>
    </row>
    <row r="1787">
      <c r="A1787" s="82"/>
      <c r="B1787" s="82"/>
      <c r="C1787" s="66"/>
      <c r="D1787" s="66"/>
      <c r="E1787" s="66"/>
      <c r="F1787" s="66"/>
      <c r="G1787" s="66"/>
      <c r="H1787" s="66"/>
      <c r="I1787" s="66"/>
      <c r="J1787" s="66"/>
    </row>
    <row r="1788">
      <c r="A1788" s="82"/>
      <c r="B1788" s="82"/>
      <c r="C1788" s="66"/>
      <c r="D1788" s="66"/>
      <c r="E1788" s="66"/>
      <c r="F1788" s="66"/>
      <c r="G1788" s="66"/>
      <c r="H1788" s="66"/>
      <c r="I1788" s="66"/>
      <c r="J1788" s="66"/>
    </row>
    <row r="1789">
      <c r="A1789" s="82"/>
      <c r="B1789" s="82"/>
      <c r="C1789" s="66"/>
      <c r="D1789" s="66"/>
      <c r="E1789" s="66"/>
      <c r="F1789" s="66"/>
      <c r="G1789" s="66"/>
      <c r="H1789" s="66"/>
      <c r="I1789" s="66"/>
      <c r="J1789" s="66"/>
    </row>
    <row r="1790">
      <c r="A1790" s="82"/>
      <c r="B1790" s="82"/>
      <c r="C1790" s="66"/>
      <c r="D1790" s="66"/>
      <c r="E1790" s="66"/>
      <c r="F1790" s="66"/>
      <c r="G1790" s="66"/>
      <c r="H1790" s="66"/>
      <c r="I1790" s="66"/>
      <c r="J1790" s="66"/>
    </row>
    <row r="1791">
      <c r="A1791" s="82"/>
      <c r="B1791" s="82"/>
      <c r="C1791" s="66"/>
      <c r="D1791" s="66"/>
      <c r="E1791" s="66"/>
      <c r="F1791" s="66"/>
      <c r="G1791" s="66"/>
      <c r="H1791" s="66"/>
      <c r="I1791" s="66"/>
      <c r="J1791" s="66"/>
    </row>
    <row r="1792">
      <c r="A1792" s="82"/>
      <c r="B1792" s="82"/>
      <c r="C1792" s="66"/>
      <c r="D1792" s="66"/>
      <c r="E1792" s="66"/>
      <c r="F1792" s="66"/>
      <c r="G1792" s="66"/>
      <c r="H1792" s="66"/>
      <c r="I1792" s="66"/>
      <c r="J1792" s="66"/>
    </row>
    <row r="1793">
      <c r="A1793" s="82"/>
      <c r="B1793" s="82"/>
      <c r="C1793" s="66"/>
      <c r="D1793" s="66"/>
      <c r="E1793" s="66"/>
      <c r="F1793" s="66"/>
      <c r="G1793" s="66"/>
      <c r="H1793" s="66"/>
      <c r="I1793" s="66"/>
      <c r="J1793" s="66"/>
    </row>
    <row r="1794">
      <c r="A1794" s="82"/>
      <c r="B1794" s="82"/>
      <c r="C1794" s="66"/>
      <c r="D1794" s="66"/>
      <c r="E1794" s="66"/>
      <c r="F1794" s="66"/>
      <c r="G1794" s="66"/>
      <c r="H1794" s="66"/>
      <c r="I1794" s="66"/>
      <c r="J1794" s="66"/>
    </row>
    <row r="1795">
      <c r="A1795" s="82"/>
      <c r="B1795" s="82"/>
      <c r="C1795" s="66"/>
      <c r="D1795" s="66"/>
      <c r="E1795" s="66"/>
      <c r="F1795" s="66"/>
      <c r="G1795" s="66"/>
      <c r="H1795" s="66"/>
      <c r="I1795" s="66"/>
      <c r="J1795" s="66"/>
    </row>
    <row r="1796">
      <c r="A1796" s="82"/>
      <c r="B1796" s="82"/>
      <c r="C1796" s="66"/>
      <c r="D1796" s="66"/>
      <c r="E1796" s="66"/>
      <c r="F1796" s="66"/>
      <c r="G1796" s="66"/>
      <c r="H1796" s="66"/>
      <c r="I1796" s="66"/>
      <c r="J1796" s="66"/>
    </row>
    <row r="1797">
      <c r="A1797" s="82"/>
      <c r="B1797" s="82"/>
      <c r="C1797" s="66"/>
      <c r="D1797" s="66"/>
      <c r="E1797" s="66"/>
      <c r="F1797" s="66"/>
      <c r="G1797" s="66"/>
      <c r="H1797" s="66"/>
      <c r="I1797" s="66"/>
      <c r="J1797" s="66"/>
    </row>
    <row r="1798">
      <c r="A1798" s="82"/>
      <c r="B1798" s="82"/>
      <c r="C1798" s="66"/>
      <c r="D1798" s="66"/>
      <c r="E1798" s="66"/>
      <c r="F1798" s="66"/>
      <c r="G1798" s="66"/>
      <c r="H1798" s="66"/>
      <c r="I1798" s="66"/>
      <c r="J1798" s="66"/>
    </row>
    <row r="1799">
      <c r="A1799" s="82"/>
      <c r="B1799" s="82"/>
      <c r="C1799" s="66"/>
      <c r="D1799" s="66"/>
      <c r="E1799" s="66"/>
      <c r="F1799" s="66"/>
      <c r="G1799" s="66"/>
      <c r="H1799" s="66"/>
      <c r="I1799" s="66"/>
      <c r="J1799" s="66"/>
    </row>
    <row r="1800">
      <c r="A1800" s="82"/>
      <c r="B1800" s="82"/>
      <c r="C1800" s="66"/>
      <c r="D1800" s="66"/>
      <c r="E1800" s="66"/>
      <c r="F1800" s="66"/>
      <c r="G1800" s="66"/>
      <c r="H1800" s="66"/>
      <c r="I1800" s="66"/>
      <c r="J1800" s="66"/>
    </row>
    <row r="1801">
      <c r="A1801" s="82"/>
      <c r="B1801" s="82"/>
      <c r="C1801" s="66"/>
      <c r="D1801" s="66"/>
      <c r="E1801" s="66"/>
      <c r="F1801" s="66"/>
      <c r="G1801" s="66"/>
      <c r="H1801" s="66"/>
      <c r="I1801" s="66"/>
      <c r="J1801" s="66"/>
    </row>
    <row r="1802">
      <c r="A1802" s="82"/>
      <c r="B1802" s="82"/>
      <c r="C1802" s="66"/>
      <c r="D1802" s="66"/>
      <c r="E1802" s="66"/>
      <c r="F1802" s="66"/>
      <c r="G1802" s="66"/>
      <c r="H1802" s="66"/>
      <c r="I1802" s="66"/>
      <c r="J1802" s="66"/>
    </row>
    <row r="1803">
      <c r="A1803" s="82"/>
      <c r="B1803" s="82"/>
      <c r="C1803" s="66"/>
      <c r="D1803" s="66"/>
      <c r="E1803" s="66"/>
      <c r="F1803" s="66"/>
      <c r="G1803" s="66"/>
      <c r="H1803" s="66"/>
      <c r="I1803" s="66"/>
      <c r="J1803" s="66"/>
    </row>
    <row r="1804">
      <c r="A1804" s="82"/>
      <c r="B1804" s="82"/>
      <c r="C1804" s="66"/>
      <c r="D1804" s="66"/>
      <c r="E1804" s="66"/>
      <c r="F1804" s="66"/>
      <c r="G1804" s="66"/>
      <c r="H1804" s="66"/>
      <c r="I1804" s="66"/>
      <c r="J1804" s="66"/>
    </row>
    <row r="1805">
      <c r="A1805" s="82"/>
      <c r="B1805" s="82"/>
      <c r="C1805" s="66"/>
      <c r="D1805" s="66"/>
      <c r="E1805" s="66"/>
      <c r="F1805" s="66"/>
      <c r="G1805" s="66"/>
      <c r="H1805" s="66"/>
      <c r="I1805" s="66"/>
      <c r="J1805" s="66"/>
    </row>
    <row r="1806">
      <c r="A1806" s="82"/>
      <c r="B1806" s="82"/>
      <c r="C1806" s="66"/>
      <c r="D1806" s="66"/>
      <c r="E1806" s="66"/>
      <c r="F1806" s="66"/>
      <c r="G1806" s="66"/>
      <c r="H1806" s="66"/>
      <c r="I1806" s="66"/>
      <c r="J1806" s="66"/>
    </row>
    <row r="1807">
      <c r="A1807" s="82"/>
      <c r="B1807" s="82"/>
      <c r="C1807" s="66"/>
      <c r="D1807" s="66"/>
      <c r="E1807" s="66"/>
      <c r="F1807" s="66"/>
      <c r="G1807" s="66"/>
      <c r="H1807" s="66"/>
      <c r="I1807" s="66"/>
      <c r="J1807" s="66"/>
    </row>
    <row r="1808">
      <c r="A1808" s="82"/>
      <c r="B1808" s="82"/>
      <c r="C1808" s="66"/>
      <c r="D1808" s="66"/>
      <c r="E1808" s="66"/>
      <c r="F1808" s="66"/>
      <c r="G1808" s="66"/>
      <c r="H1808" s="66"/>
      <c r="I1808" s="66"/>
      <c r="J1808" s="66"/>
    </row>
    <row r="1809">
      <c r="A1809" s="82"/>
      <c r="B1809" s="82"/>
      <c r="C1809" s="66"/>
      <c r="D1809" s="66"/>
      <c r="E1809" s="66"/>
      <c r="F1809" s="66"/>
      <c r="G1809" s="66"/>
      <c r="H1809" s="66"/>
      <c r="I1809" s="66"/>
      <c r="J1809" s="66"/>
    </row>
    <row r="1810">
      <c r="A1810" s="82"/>
      <c r="B1810" s="82"/>
      <c r="C1810" s="66"/>
      <c r="D1810" s="66"/>
      <c r="E1810" s="66"/>
      <c r="F1810" s="66"/>
      <c r="G1810" s="66"/>
      <c r="H1810" s="66"/>
      <c r="I1810" s="66"/>
      <c r="J1810" s="66"/>
    </row>
    <row r="1811">
      <c r="A1811" s="82"/>
      <c r="B1811" s="82"/>
      <c r="C1811" s="66"/>
      <c r="D1811" s="66"/>
      <c r="E1811" s="66"/>
      <c r="F1811" s="66"/>
      <c r="G1811" s="66"/>
      <c r="H1811" s="66"/>
      <c r="I1811" s="66"/>
      <c r="J1811" s="66"/>
    </row>
    <row r="1812">
      <c r="A1812" s="82"/>
      <c r="B1812" s="82"/>
      <c r="C1812" s="66"/>
      <c r="D1812" s="66"/>
      <c r="E1812" s="66"/>
      <c r="F1812" s="66"/>
      <c r="G1812" s="66"/>
      <c r="H1812" s="66"/>
      <c r="I1812" s="66"/>
      <c r="J1812" s="66"/>
    </row>
    <row r="1813">
      <c r="A1813" s="82"/>
      <c r="B1813" s="82"/>
      <c r="C1813" s="66"/>
      <c r="D1813" s="66"/>
      <c r="E1813" s="66"/>
      <c r="F1813" s="66"/>
      <c r="G1813" s="66"/>
      <c r="H1813" s="66"/>
      <c r="I1813" s="66"/>
      <c r="J1813" s="66"/>
    </row>
    <row r="1814">
      <c r="A1814" s="82"/>
      <c r="B1814" s="82"/>
      <c r="C1814" s="66"/>
      <c r="D1814" s="66"/>
      <c r="E1814" s="66"/>
      <c r="F1814" s="66"/>
      <c r="G1814" s="66"/>
      <c r="H1814" s="66"/>
      <c r="I1814" s="66"/>
      <c r="J1814" s="66"/>
    </row>
    <row r="1815">
      <c r="A1815" s="82"/>
      <c r="B1815" s="82"/>
      <c r="C1815" s="66"/>
      <c r="D1815" s="66"/>
      <c r="E1815" s="66"/>
      <c r="F1815" s="66"/>
      <c r="G1815" s="66"/>
      <c r="H1815" s="66"/>
      <c r="I1815" s="66"/>
      <c r="J1815" s="66"/>
    </row>
    <row r="1816">
      <c r="A1816" s="82"/>
      <c r="B1816" s="82"/>
      <c r="C1816" s="66"/>
      <c r="D1816" s="66"/>
      <c r="E1816" s="66"/>
      <c r="F1816" s="66"/>
      <c r="G1816" s="66"/>
      <c r="H1816" s="66"/>
      <c r="I1816" s="66"/>
      <c r="J1816" s="66"/>
    </row>
    <row r="1817">
      <c r="A1817" s="82"/>
      <c r="B1817" s="82"/>
      <c r="C1817" s="66"/>
      <c r="D1817" s="66"/>
      <c r="E1817" s="66"/>
      <c r="F1817" s="66"/>
      <c r="G1817" s="66"/>
      <c r="H1817" s="66"/>
      <c r="I1817" s="66"/>
      <c r="J1817" s="66"/>
    </row>
    <row r="1818">
      <c r="A1818" s="82"/>
      <c r="B1818" s="82"/>
      <c r="C1818" s="66"/>
      <c r="D1818" s="66"/>
      <c r="E1818" s="66"/>
      <c r="F1818" s="66"/>
      <c r="G1818" s="66"/>
      <c r="H1818" s="66"/>
      <c r="I1818" s="66"/>
      <c r="J1818" s="66"/>
    </row>
    <row r="1819">
      <c r="A1819" s="82"/>
      <c r="B1819" s="82"/>
      <c r="C1819" s="66"/>
      <c r="D1819" s="66"/>
      <c r="E1819" s="66"/>
      <c r="F1819" s="66"/>
      <c r="G1819" s="66"/>
      <c r="H1819" s="66"/>
      <c r="I1819" s="66"/>
      <c r="J1819" s="66"/>
    </row>
    <row r="1820">
      <c r="A1820" s="82"/>
      <c r="B1820" s="82"/>
      <c r="C1820" s="66"/>
      <c r="D1820" s="66"/>
      <c r="E1820" s="66"/>
      <c r="F1820" s="66"/>
      <c r="G1820" s="66"/>
      <c r="H1820" s="66"/>
      <c r="I1820" s="66"/>
      <c r="J1820" s="66"/>
    </row>
    <row r="1821">
      <c r="A1821" s="82"/>
      <c r="B1821" s="82"/>
      <c r="C1821" s="66"/>
      <c r="D1821" s="66"/>
      <c r="E1821" s="66"/>
      <c r="F1821" s="66"/>
      <c r="G1821" s="66"/>
      <c r="H1821" s="66"/>
      <c r="I1821" s="66"/>
      <c r="J1821" s="66"/>
    </row>
    <row r="1822">
      <c r="A1822" s="82"/>
      <c r="B1822" s="82"/>
      <c r="C1822" s="66"/>
      <c r="D1822" s="66"/>
      <c r="E1822" s="66"/>
      <c r="F1822" s="66"/>
      <c r="G1822" s="66"/>
      <c r="H1822" s="66"/>
      <c r="I1822" s="66"/>
      <c r="J1822" s="66"/>
    </row>
    <row r="1823">
      <c r="A1823" s="82"/>
      <c r="B1823" s="82"/>
      <c r="C1823" s="66"/>
      <c r="D1823" s="66"/>
      <c r="E1823" s="66"/>
      <c r="F1823" s="66"/>
      <c r="G1823" s="66"/>
      <c r="H1823" s="66"/>
      <c r="I1823" s="66"/>
      <c r="J1823" s="66"/>
    </row>
    <row r="1824">
      <c r="A1824" s="82"/>
      <c r="B1824" s="82"/>
      <c r="C1824" s="66"/>
      <c r="D1824" s="66"/>
      <c r="E1824" s="66"/>
      <c r="F1824" s="66"/>
      <c r="G1824" s="66"/>
      <c r="H1824" s="66"/>
      <c r="I1824" s="66"/>
      <c r="J1824" s="66"/>
    </row>
    <row r="1825">
      <c r="A1825" s="82"/>
      <c r="B1825" s="82"/>
      <c r="C1825" s="66"/>
      <c r="D1825" s="66"/>
      <c r="E1825" s="66"/>
      <c r="F1825" s="66"/>
      <c r="G1825" s="66"/>
      <c r="H1825" s="66"/>
      <c r="I1825" s="66"/>
      <c r="J1825" s="66"/>
    </row>
    <row r="1826">
      <c r="A1826" s="82"/>
      <c r="B1826" s="82"/>
      <c r="C1826" s="66"/>
      <c r="D1826" s="66"/>
      <c r="E1826" s="66"/>
      <c r="F1826" s="66"/>
      <c r="G1826" s="66"/>
      <c r="H1826" s="66"/>
      <c r="I1826" s="66"/>
      <c r="J1826" s="66"/>
    </row>
    <row r="1827">
      <c r="A1827" s="82"/>
      <c r="B1827" s="82"/>
      <c r="C1827" s="66"/>
      <c r="D1827" s="66"/>
      <c r="E1827" s="66"/>
      <c r="F1827" s="66"/>
      <c r="G1827" s="66"/>
      <c r="H1827" s="66"/>
      <c r="I1827" s="66"/>
      <c r="J1827" s="66"/>
    </row>
    <row r="1828">
      <c r="A1828" s="82"/>
      <c r="B1828" s="82"/>
      <c r="C1828" s="66"/>
      <c r="D1828" s="66"/>
      <c r="E1828" s="66"/>
      <c r="F1828" s="66"/>
      <c r="G1828" s="66"/>
      <c r="H1828" s="66"/>
      <c r="I1828" s="66"/>
      <c r="J1828" s="66"/>
    </row>
    <row r="1829">
      <c r="A1829" s="82"/>
      <c r="B1829" s="82"/>
      <c r="C1829" s="66"/>
      <c r="D1829" s="66"/>
      <c r="E1829" s="66"/>
      <c r="F1829" s="66"/>
      <c r="G1829" s="66"/>
      <c r="H1829" s="66"/>
      <c r="I1829" s="66"/>
      <c r="J1829" s="66"/>
    </row>
    <row r="1830">
      <c r="A1830" s="82"/>
      <c r="B1830" s="82"/>
      <c r="C1830" s="66"/>
      <c r="D1830" s="66"/>
      <c r="E1830" s="66"/>
      <c r="F1830" s="66"/>
      <c r="G1830" s="66"/>
      <c r="H1830" s="66"/>
      <c r="I1830" s="66"/>
      <c r="J1830" s="66"/>
    </row>
    <row r="1831">
      <c r="A1831" s="82"/>
      <c r="B1831" s="82"/>
      <c r="C1831" s="66"/>
      <c r="D1831" s="66"/>
      <c r="E1831" s="66"/>
      <c r="F1831" s="66"/>
      <c r="G1831" s="66"/>
      <c r="H1831" s="66"/>
      <c r="I1831" s="66"/>
      <c r="J1831" s="66"/>
    </row>
    <row r="1832">
      <c r="A1832" s="82"/>
      <c r="B1832" s="82"/>
      <c r="C1832" s="66"/>
      <c r="D1832" s="66"/>
      <c r="E1832" s="66"/>
      <c r="F1832" s="66"/>
      <c r="G1832" s="66"/>
      <c r="H1832" s="66"/>
      <c r="I1832" s="66"/>
      <c r="J1832" s="66"/>
    </row>
    <row r="1833">
      <c r="A1833" s="82"/>
      <c r="B1833" s="82"/>
      <c r="C1833" s="66"/>
      <c r="D1833" s="66"/>
      <c r="E1833" s="66"/>
      <c r="F1833" s="66"/>
      <c r="G1833" s="66"/>
      <c r="H1833" s="66"/>
      <c r="I1833" s="66"/>
      <c r="J1833" s="66"/>
    </row>
    <row r="1834">
      <c r="A1834" s="82"/>
      <c r="B1834" s="82"/>
      <c r="C1834" s="66"/>
      <c r="D1834" s="66"/>
      <c r="E1834" s="66"/>
      <c r="F1834" s="66"/>
      <c r="G1834" s="66"/>
      <c r="H1834" s="66"/>
      <c r="I1834" s="66"/>
      <c r="J1834" s="66"/>
    </row>
    <row r="1835">
      <c r="A1835" s="82"/>
      <c r="B1835" s="82"/>
      <c r="C1835" s="66"/>
      <c r="D1835" s="66"/>
      <c r="E1835" s="66"/>
      <c r="F1835" s="66"/>
      <c r="G1835" s="66"/>
      <c r="H1835" s="66"/>
      <c r="I1835" s="66"/>
      <c r="J1835" s="66"/>
    </row>
    <row r="1836">
      <c r="A1836" s="82"/>
      <c r="B1836" s="82"/>
      <c r="C1836" s="66"/>
      <c r="D1836" s="66"/>
      <c r="E1836" s="66"/>
      <c r="F1836" s="66"/>
      <c r="G1836" s="66"/>
      <c r="H1836" s="66"/>
      <c r="I1836" s="66"/>
      <c r="J1836" s="66"/>
    </row>
    <row r="1837">
      <c r="A1837" s="82"/>
      <c r="B1837" s="82"/>
      <c r="C1837" s="66"/>
      <c r="D1837" s="66"/>
      <c r="E1837" s="66"/>
      <c r="F1837" s="66"/>
      <c r="G1837" s="66"/>
      <c r="H1837" s="66"/>
      <c r="I1837" s="66"/>
      <c r="J1837" s="66"/>
    </row>
    <row r="1838">
      <c r="A1838" s="82"/>
      <c r="B1838" s="82"/>
      <c r="C1838" s="66"/>
      <c r="D1838" s="66"/>
      <c r="E1838" s="66"/>
      <c r="F1838" s="66"/>
      <c r="G1838" s="66"/>
      <c r="H1838" s="66"/>
      <c r="I1838" s="66"/>
      <c r="J1838" s="66"/>
    </row>
    <row r="1839">
      <c r="A1839" s="82"/>
      <c r="B1839" s="82"/>
      <c r="C1839" s="66"/>
      <c r="D1839" s="66"/>
      <c r="E1839" s="66"/>
      <c r="F1839" s="66"/>
      <c r="G1839" s="66"/>
      <c r="H1839" s="66"/>
      <c r="I1839" s="66"/>
      <c r="J1839" s="66"/>
    </row>
    <row r="1840">
      <c r="A1840" s="82"/>
      <c r="B1840" s="82"/>
      <c r="C1840" s="66"/>
      <c r="D1840" s="66"/>
      <c r="E1840" s="66"/>
      <c r="F1840" s="66"/>
      <c r="G1840" s="66"/>
      <c r="H1840" s="66"/>
      <c r="I1840" s="66"/>
      <c r="J1840" s="66"/>
    </row>
    <row r="1841">
      <c r="A1841" s="82"/>
      <c r="B1841" s="82"/>
      <c r="C1841" s="66"/>
      <c r="D1841" s="66"/>
      <c r="E1841" s="66"/>
      <c r="F1841" s="66"/>
      <c r="G1841" s="66"/>
      <c r="H1841" s="66"/>
      <c r="I1841" s="66"/>
      <c r="J1841" s="66"/>
    </row>
    <row r="1842">
      <c r="A1842" s="82"/>
      <c r="B1842" s="82"/>
      <c r="C1842" s="66"/>
      <c r="D1842" s="66"/>
      <c r="E1842" s="66"/>
      <c r="F1842" s="66"/>
      <c r="G1842" s="66"/>
      <c r="H1842" s="66"/>
      <c r="I1842" s="66"/>
      <c r="J1842" s="66"/>
    </row>
    <row r="1843">
      <c r="A1843" s="82"/>
      <c r="B1843" s="82"/>
      <c r="C1843" s="66"/>
      <c r="D1843" s="66"/>
      <c r="E1843" s="66"/>
      <c r="F1843" s="66"/>
      <c r="G1843" s="66"/>
      <c r="H1843" s="66"/>
      <c r="I1843" s="66"/>
      <c r="J1843" s="66"/>
    </row>
    <row r="1844">
      <c r="A1844" s="82"/>
      <c r="B1844" s="82"/>
      <c r="C1844" s="66"/>
      <c r="D1844" s="66"/>
      <c r="E1844" s="66"/>
      <c r="F1844" s="66"/>
      <c r="G1844" s="66"/>
      <c r="H1844" s="66"/>
      <c r="I1844" s="66"/>
      <c r="J1844" s="66"/>
    </row>
    <row r="1845">
      <c r="A1845" s="82"/>
      <c r="B1845" s="82"/>
      <c r="C1845" s="66"/>
      <c r="D1845" s="66"/>
      <c r="E1845" s="66"/>
      <c r="F1845" s="66"/>
      <c r="G1845" s="66"/>
      <c r="H1845" s="66"/>
      <c r="I1845" s="66"/>
      <c r="J1845" s="66"/>
    </row>
    <row r="1846">
      <c r="A1846" s="82"/>
      <c r="B1846" s="82"/>
      <c r="C1846" s="66"/>
      <c r="D1846" s="66"/>
      <c r="E1846" s="66"/>
      <c r="F1846" s="66"/>
      <c r="G1846" s="66"/>
      <c r="H1846" s="66"/>
      <c r="I1846" s="66"/>
      <c r="J1846" s="66"/>
    </row>
    <row r="1847">
      <c r="A1847" s="82"/>
      <c r="B1847" s="82"/>
      <c r="C1847" s="66"/>
      <c r="D1847" s="66"/>
      <c r="E1847" s="66"/>
      <c r="F1847" s="66"/>
      <c r="G1847" s="66"/>
      <c r="H1847" s="66"/>
      <c r="I1847" s="66"/>
      <c r="J1847" s="66"/>
    </row>
    <row r="1848">
      <c r="A1848" s="82"/>
      <c r="B1848" s="82"/>
      <c r="C1848" s="66"/>
      <c r="D1848" s="66"/>
      <c r="E1848" s="66"/>
      <c r="F1848" s="66"/>
      <c r="G1848" s="66"/>
      <c r="H1848" s="66"/>
      <c r="I1848" s="66"/>
      <c r="J1848" s="66"/>
    </row>
    <row r="1849">
      <c r="A1849" s="82"/>
      <c r="B1849" s="82"/>
      <c r="C1849" s="66"/>
      <c r="D1849" s="66"/>
      <c r="E1849" s="66"/>
      <c r="F1849" s="66"/>
      <c r="G1849" s="66"/>
      <c r="H1849" s="66"/>
      <c r="I1849" s="66"/>
      <c r="J1849" s="66"/>
    </row>
    <row r="1850">
      <c r="A1850" s="82"/>
      <c r="B1850" s="82"/>
      <c r="C1850" s="66"/>
      <c r="D1850" s="66"/>
      <c r="E1850" s="66"/>
      <c r="F1850" s="66"/>
      <c r="G1850" s="66"/>
      <c r="H1850" s="66"/>
      <c r="I1850" s="66"/>
      <c r="J1850" s="66"/>
    </row>
    <row r="1851">
      <c r="A1851" s="82"/>
      <c r="B1851" s="82"/>
      <c r="C1851" s="66"/>
      <c r="D1851" s="66"/>
      <c r="E1851" s="66"/>
      <c r="F1851" s="66"/>
      <c r="G1851" s="66"/>
      <c r="H1851" s="66"/>
      <c r="I1851" s="66"/>
      <c r="J1851" s="66"/>
    </row>
    <row r="1852">
      <c r="A1852" s="82"/>
      <c r="B1852" s="82"/>
      <c r="C1852" s="66"/>
      <c r="D1852" s="66"/>
      <c r="E1852" s="66"/>
      <c r="F1852" s="66"/>
      <c r="G1852" s="66"/>
      <c r="H1852" s="66"/>
      <c r="I1852" s="66"/>
      <c r="J1852" s="66"/>
    </row>
    <row r="1853">
      <c r="A1853" s="82"/>
      <c r="B1853" s="82"/>
      <c r="C1853" s="66"/>
      <c r="D1853" s="66"/>
      <c r="E1853" s="66"/>
      <c r="F1853" s="66"/>
      <c r="G1853" s="66"/>
      <c r="H1853" s="66"/>
      <c r="I1853" s="66"/>
      <c r="J1853" s="66"/>
    </row>
    <row r="1854">
      <c r="A1854" s="82"/>
      <c r="B1854" s="82"/>
      <c r="C1854" s="66"/>
      <c r="D1854" s="66"/>
      <c r="E1854" s="66"/>
      <c r="F1854" s="66"/>
      <c r="G1854" s="66"/>
      <c r="H1854" s="66"/>
      <c r="I1854" s="66"/>
      <c r="J1854" s="66"/>
    </row>
    <row r="1855">
      <c r="A1855" s="82"/>
      <c r="B1855" s="82"/>
      <c r="C1855" s="66"/>
      <c r="D1855" s="66"/>
      <c r="E1855" s="66"/>
      <c r="F1855" s="66"/>
      <c r="G1855" s="66"/>
      <c r="H1855" s="66"/>
      <c r="I1855" s="66"/>
      <c r="J1855" s="66"/>
    </row>
    <row r="1856">
      <c r="A1856" s="82"/>
      <c r="B1856" s="82"/>
      <c r="C1856" s="66"/>
      <c r="D1856" s="66"/>
      <c r="E1856" s="66"/>
      <c r="F1856" s="66"/>
      <c r="G1856" s="66"/>
      <c r="H1856" s="66"/>
      <c r="I1856" s="66"/>
      <c r="J1856" s="66"/>
    </row>
    <row r="1857">
      <c r="A1857" s="82"/>
      <c r="B1857" s="82"/>
      <c r="C1857" s="66"/>
      <c r="D1857" s="66"/>
      <c r="E1857" s="66"/>
      <c r="F1857" s="66"/>
      <c r="G1857" s="66"/>
      <c r="H1857" s="66"/>
      <c r="I1857" s="66"/>
      <c r="J1857" s="66"/>
    </row>
    <row r="1858">
      <c r="A1858" s="82"/>
      <c r="B1858" s="82"/>
      <c r="C1858" s="66"/>
      <c r="D1858" s="66"/>
      <c r="E1858" s="66"/>
      <c r="F1858" s="66"/>
      <c r="G1858" s="66"/>
      <c r="H1858" s="66"/>
      <c r="I1858" s="66"/>
      <c r="J1858" s="66"/>
    </row>
    <row r="1859">
      <c r="A1859" s="82"/>
      <c r="B1859" s="82"/>
      <c r="C1859" s="66"/>
      <c r="D1859" s="66"/>
      <c r="E1859" s="66"/>
      <c r="F1859" s="66"/>
      <c r="G1859" s="66"/>
      <c r="H1859" s="66"/>
      <c r="I1859" s="66"/>
      <c r="J1859" s="66"/>
    </row>
    <row r="1860">
      <c r="A1860" s="82"/>
      <c r="B1860" s="82"/>
      <c r="C1860" s="66"/>
      <c r="D1860" s="66"/>
      <c r="E1860" s="66"/>
      <c r="F1860" s="66"/>
      <c r="G1860" s="66"/>
      <c r="H1860" s="66"/>
      <c r="I1860" s="66"/>
      <c r="J1860" s="66"/>
    </row>
    <row r="1861">
      <c r="A1861" s="82"/>
      <c r="B1861" s="82"/>
      <c r="C1861" s="66"/>
      <c r="D1861" s="66"/>
      <c r="E1861" s="66"/>
      <c r="F1861" s="66"/>
      <c r="G1861" s="66"/>
      <c r="H1861" s="66"/>
      <c r="I1861" s="66"/>
      <c r="J1861" s="66"/>
    </row>
    <row r="1862">
      <c r="A1862" s="82"/>
      <c r="B1862" s="82"/>
      <c r="C1862" s="66"/>
      <c r="D1862" s="66"/>
      <c r="E1862" s="66"/>
      <c r="F1862" s="66"/>
      <c r="G1862" s="66"/>
      <c r="H1862" s="66"/>
      <c r="I1862" s="66"/>
      <c r="J1862" s="66"/>
    </row>
    <row r="1863">
      <c r="A1863" s="82"/>
      <c r="B1863" s="82"/>
      <c r="C1863" s="66"/>
      <c r="D1863" s="66"/>
      <c r="E1863" s="66"/>
      <c r="F1863" s="66"/>
      <c r="G1863" s="66"/>
      <c r="H1863" s="66"/>
      <c r="I1863" s="66"/>
      <c r="J1863" s="66"/>
    </row>
    <row r="1864">
      <c r="A1864" s="82"/>
      <c r="B1864" s="82"/>
      <c r="C1864" s="66"/>
      <c r="D1864" s="66"/>
      <c r="E1864" s="66"/>
      <c r="F1864" s="66"/>
      <c r="G1864" s="66"/>
      <c r="H1864" s="66"/>
      <c r="I1864" s="66"/>
      <c r="J1864" s="66"/>
    </row>
    <row r="1865">
      <c r="A1865" s="82"/>
      <c r="B1865" s="82"/>
      <c r="C1865" s="66"/>
      <c r="D1865" s="66"/>
      <c r="E1865" s="66"/>
      <c r="F1865" s="66"/>
      <c r="G1865" s="66"/>
      <c r="H1865" s="66"/>
      <c r="I1865" s="66"/>
      <c r="J1865" s="66"/>
    </row>
    <row r="1866">
      <c r="A1866" s="82"/>
      <c r="B1866" s="82"/>
      <c r="C1866" s="66"/>
      <c r="D1866" s="66"/>
      <c r="E1866" s="66"/>
      <c r="F1866" s="66"/>
      <c r="G1866" s="66"/>
      <c r="H1866" s="66"/>
      <c r="I1866" s="66"/>
      <c r="J1866" s="66"/>
    </row>
    <row r="1867">
      <c r="A1867" s="82"/>
      <c r="B1867" s="82"/>
      <c r="C1867" s="66"/>
      <c r="D1867" s="66"/>
      <c r="E1867" s="66"/>
      <c r="F1867" s="66"/>
      <c r="G1867" s="66"/>
      <c r="H1867" s="66"/>
      <c r="I1867" s="66"/>
      <c r="J1867" s="66"/>
    </row>
    <row r="1868">
      <c r="A1868" s="82"/>
      <c r="B1868" s="82"/>
      <c r="C1868" s="66"/>
      <c r="D1868" s="66"/>
      <c r="E1868" s="66"/>
      <c r="F1868" s="66"/>
      <c r="G1868" s="66"/>
      <c r="H1868" s="66"/>
      <c r="I1868" s="66"/>
      <c r="J1868" s="66"/>
    </row>
    <row r="1869">
      <c r="A1869" s="82"/>
      <c r="B1869" s="82"/>
      <c r="C1869" s="66"/>
      <c r="D1869" s="66"/>
      <c r="E1869" s="66"/>
      <c r="F1869" s="66"/>
      <c r="G1869" s="66"/>
      <c r="H1869" s="66"/>
      <c r="I1869" s="66"/>
      <c r="J1869" s="66"/>
    </row>
    <row r="1870">
      <c r="A1870" s="82"/>
      <c r="B1870" s="82"/>
      <c r="C1870" s="66"/>
      <c r="D1870" s="66"/>
      <c r="E1870" s="66"/>
      <c r="F1870" s="66"/>
      <c r="G1870" s="66"/>
      <c r="H1870" s="66"/>
      <c r="I1870" s="66"/>
      <c r="J1870" s="66"/>
    </row>
    <row r="1871">
      <c r="A1871" s="82"/>
      <c r="B1871" s="82"/>
      <c r="C1871" s="66"/>
      <c r="D1871" s="66"/>
      <c r="E1871" s="66"/>
      <c r="F1871" s="66"/>
      <c r="G1871" s="66"/>
      <c r="H1871" s="66"/>
      <c r="I1871" s="66"/>
      <c r="J1871" s="66"/>
    </row>
    <row r="1872">
      <c r="A1872" s="82"/>
      <c r="B1872" s="82"/>
      <c r="C1872" s="66"/>
      <c r="D1872" s="66"/>
      <c r="E1872" s="66"/>
      <c r="F1872" s="66"/>
      <c r="G1872" s="66"/>
      <c r="H1872" s="66"/>
      <c r="I1872" s="66"/>
      <c r="J1872" s="66"/>
    </row>
    <row r="1873">
      <c r="A1873" s="82"/>
      <c r="B1873" s="82"/>
      <c r="C1873" s="66"/>
      <c r="D1873" s="66"/>
      <c r="E1873" s="66"/>
      <c r="F1873" s="66"/>
      <c r="G1873" s="66"/>
      <c r="H1873" s="66"/>
      <c r="I1873" s="66"/>
      <c r="J1873" s="66"/>
    </row>
    <row r="1874">
      <c r="A1874" s="82"/>
      <c r="B1874" s="82"/>
      <c r="C1874" s="66"/>
      <c r="D1874" s="66"/>
      <c r="E1874" s="66"/>
      <c r="F1874" s="66"/>
      <c r="G1874" s="66"/>
      <c r="H1874" s="66"/>
      <c r="I1874" s="66"/>
      <c r="J1874" s="66"/>
    </row>
    <row r="1875">
      <c r="A1875" s="82"/>
      <c r="B1875" s="82"/>
      <c r="C1875" s="66"/>
      <c r="D1875" s="66"/>
      <c r="E1875" s="66"/>
      <c r="F1875" s="66"/>
      <c r="G1875" s="66"/>
      <c r="H1875" s="66"/>
      <c r="I1875" s="66"/>
      <c r="J1875" s="66"/>
    </row>
    <row r="1876">
      <c r="A1876" s="82"/>
      <c r="B1876" s="82"/>
      <c r="C1876" s="66"/>
      <c r="D1876" s="66"/>
      <c r="E1876" s="66"/>
      <c r="F1876" s="66"/>
      <c r="G1876" s="66"/>
      <c r="H1876" s="66"/>
      <c r="I1876" s="66"/>
      <c r="J1876" s="66"/>
    </row>
    <row r="1877">
      <c r="A1877" s="82"/>
      <c r="B1877" s="82"/>
      <c r="C1877" s="66"/>
      <c r="D1877" s="66"/>
      <c r="E1877" s="66"/>
      <c r="F1877" s="66"/>
      <c r="G1877" s="66"/>
      <c r="H1877" s="66"/>
      <c r="I1877" s="66"/>
      <c r="J1877" s="66"/>
    </row>
    <row r="1878">
      <c r="A1878" s="82"/>
      <c r="B1878" s="82"/>
      <c r="C1878" s="66"/>
      <c r="D1878" s="66"/>
      <c r="E1878" s="66"/>
      <c r="F1878" s="66"/>
      <c r="G1878" s="66"/>
      <c r="H1878" s="66"/>
      <c r="I1878" s="66"/>
      <c r="J1878" s="66"/>
    </row>
    <row r="1879">
      <c r="A1879" s="82"/>
      <c r="B1879" s="82"/>
      <c r="C1879" s="66"/>
      <c r="D1879" s="66"/>
      <c r="E1879" s="66"/>
      <c r="F1879" s="66"/>
      <c r="G1879" s="66"/>
      <c r="H1879" s="66"/>
      <c r="I1879" s="66"/>
      <c r="J1879" s="66"/>
    </row>
    <row r="1880">
      <c r="A1880" s="82"/>
      <c r="B1880" s="82"/>
      <c r="C1880" s="66"/>
      <c r="D1880" s="66"/>
      <c r="E1880" s="66"/>
      <c r="F1880" s="66"/>
      <c r="G1880" s="66"/>
      <c r="H1880" s="66"/>
      <c r="I1880" s="66"/>
      <c r="J1880" s="66"/>
    </row>
    <row r="1881">
      <c r="A1881" s="82"/>
      <c r="B1881" s="82"/>
      <c r="C1881" s="66"/>
      <c r="D1881" s="66"/>
      <c r="E1881" s="66"/>
      <c r="F1881" s="66"/>
      <c r="G1881" s="66"/>
      <c r="H1881" s="66"/>
      <c r="I1881" s="66"/>
      <c r="J1881" s="66"/>
    </row>
    <row r="1882">
      <c r="A1882" s="82"/>
      <c r="B1882" s="82"/>
      <c r="C1882" s="66"/>
      <c r="D1882" s="66"/>
      <c r="E1882" s="66"/>
      <c r="F1882" s="66"/>
      <c r="G1882" s="66"/>
      <c r="H1882" s="66"/>
      <c r="I1882" s="66"/>
      <c r="J1882" s="66"/>
    </row>
    <row r="1883">
      <c r="A1883" s="82"/>
      <c r="B1883" s="82"/>
      <c r="C1883" s="66"/>
      <c r="D1883" s="66"/>
      <c r="E1883" s="66"/>
      <c r="F1883" s="66"/>
      <c r="G1883" s="66"/>
      <c r="H1883" s="66"/>
      <c r="I1883" s="66"/>
      <c r="J1883" s="66"/>
    </row>
    <row r="1884">
      <c r="A1884" s="82"/>
      <c r="B1884" s="82"/>
      <c r="C1884" s="66"/>
      <c r="D1884" s="66"/>
      <c r="E1884" s="66"/>
      <c r="F1884" s="66"/>
      <c r="G1884" s="66"/>
      <c r="H1884" s="66"/>
      <c r="I1884" s="66"/>
      <c r="J1884" s="66"/>
    </row>
    <row r="1885">
      <c r="A1885" s="82"/>
      <c r="B1885" s="82"/>
      <c r="C1885" s="66"/>
      <c r="D1885" s="66"/>
      <c r="E1885" s="66"/>
      <c r="F1885" s="66"/>
      <c r="G1885" s="66"/>
      <c r="H1885" s="66"/>
      <c r="I1885" s="66"/>
      <c r="J1885" s="66"/>
    </row>
    <row r="1886">
      <c r="A1886" s="82"/>
      <c r="B1886" s="82"/>
      <c r="C1886" s="66"/>
      <c r="D1886" s="66"/>
      <c r="E1886" s="66"/>
      <c r="F1886" s="66"/>
      <c r="G1886" s="66"/>
      <c r="H1886" s="66"/>
      <c r="I1886" s="66"/>
      <c r="J1886" s="66"/>
    </row>
    <row r="1887">
      <c r="A1887" s="82"/>
      <c r="B1887" s="82"/>
      <c r="C1887" s="66"/>
      <c r="D1887" s="66"/>
      <c r="E1887" s="66"/>
      <c r="F1887" s="66"/>
      <c r="G1887" s="66"/>
      <c r="H1887" s="66"/>
      <c r="I1887" s="66"/>
      <c r="J1887" s="66"/>
    </row>
    <row r="1888">
      <c r="A1888" s="82"/>
      <c r="B1888" s="82"/>
      <c r="C1888" s="66"/>
      <c r="D1888" s="66"/>
      <c r="E1888" s="66"/>
      <c r="F1888" s="66"/>
      <c r="G1888" s="66"/>
      <c r="H1888" s="66"/>
      <c r="I1888" s="66"/>
      <c r="J1888" s="66"/>
    </row>
    <row r="1889">
      <c r="A1889" s="82"/>
      <c r="B1889" s="82"/>
      <c r="C1889" s="66"/>
      <c r="D1889" s="66"/>
      <c r="E1889" s="66"/>
      <c r="F1889" s="66"/>
      <c r="G1889" s="66"/>
      <c r="H1889" s="66"/>
      <c r="I1889" s="66"/>
      <c r="J1889" s="66"/>
    </row>
    <row r="1890">
      <c r="A1890" s="82"/>
      <c r="B1890" s="82"/>
      <c r="C1890" s="66"/>
      <c r="D1890" s="66"/>
      <c r="E1890" s="66"/>
      <c r="F1890" s="66"/>
      <c r="G1890" s="66"/>
      <c r="H1890" s="66"/>
      <c r="I1890" s="66"/>
      <c r="J1890" s="66"/>
    </row>
    <row r="1891">
      <c r="A1891" s="82"/>
      <c r="B1891" s="82"/>
      <c r="C1891" s="66"/>
      <c r="D1891" s="66"/>
      <c r="E1891" s="66"/>
      <c r="F1891" s="66"/>
      <c r="G1891" s="66"/>
      <c r="H1891" s="66"/>
      <c r="I1891" s="66"/>
      <c r="J1891" s="66"/>
    </row>
    <row r="1892">
      <c r="A1892" s="82"/>
      <c r="B1892" s="82"/>
      <c r="C1892" s="66"/>
      <c r="D1892" s="66"/>
      <c r="E1892" s="66"/>
      <c r="F1892" s="66"/>
      <c r="G1892" s="66"/>
      <c r="H1892" s="66"/>
      <c r="I1892" s="66"/>
      <c r="J1892" s="66"/>
    </row>
    <row r="1893">
      <c r="A1893" s="82"/>
      <c r="B1893" s="82"/>
      <c r="C1893" s="66"/>
      <c r="D1893" s="66"/>
      <c r="E1893" s="66"/>
      <c r="F1893" s="66"/>
      <c r="G1893" s="66"/>
      <c r="H1893" s="66"/>
      <c r="I1893" s="66"/>
      <c r="J1893" s="66"/>
    </row>
    <row r="1894">
      <c r="A1894" s="82"/>
      <c r="B1894" s="82"/>
      <c r="C1894" s="66"/>
      <c r="D1894" s="66"/>
      <c r="E1894" s="66"/>
      <c r="F1894" s="66"/>
      <c r="G1894" s="66"/>
      <c r="H1894" s="66"/>
      <c r="I1894" s="66"/>
      <c r="J1894" s="66"/>
    </row>
    <row r="1895">
      <c r="A1895" s="82"/>
      <c r="B1895" s="82"/>
      <c r="C1895" s="66"/>
      <c r="D1895" s="66"/>
      <c r="E1895" s="66"/>
      <c r="F1895" s="66"/>
      <c r="G1895" s="66"/>
      <c r="H1895" s="66"/>
      <c r="I1895" s="66"/>
      <c r="J1895" s="66"/>
    </row>
    <row r="1896">
      <c r="A1896" s="82"/>
      <c r="B1896" s="82"/>
      <c r="C1896" s="66"/>
      <c r="D1896" s="66"/>
      <c r="E1896" s="66"/>
      <c r="F1896" s="66"/>
      <c r="G1896" s="66"/>
      <c r="H1896" s="66"/>
      <c r="I1896" s="66"/>
      <c r="J1896" s="66"/>
    </row>
    <row r="1897">
      <c r="A1897" s="82"/>
      <c r="B1897" s="82"/>
      <c r="C1897" s="66"/>
      <c r="D1897" s="66"/>
      <c r="E1897" s="66"/>
      <c r="F1897" s="66"/>
      <c r="G1897" s="66"/>
      <c r="H1897" s="66"/>
      <c r="I1897" s="66"/>
      <c r="J1897" s="66"/>
    </row>
    <row r="1898">
      <c r="A1898" s="82"/>
      <c r="B1898" s="82"/>
      <c r="C1898" s="66"/>
      <c r="D1898" s="66"/>
      <c r="E1898" s="66"/>
      <c r="F1898" s="66"/>
      <c r="G1898" s="66"/>
      <c r="H1898" s="66"/>
      <c r="I1898" s="66"/>
      <c r="J1898" s="66"/>
    </row>
    <row r="1899">
      <c r="A1899" s="82"/>
      <c r="B1899" s="82"/>
      <c r="C1899" s="66"/>
      <c r="D1899" s="66"/>
      <c r="E1899" s="66"/>
      <c r="F1899" s="66"/>
      <c r="G1899" s="66"/>
      <c r="H1899" s="66"/>
      <c r="I1899" s="66"/>
      <c r="J1899" s="66"/>
    </row>
    <row r="1900">
      <c r="A1900" s="82"/>
      <c r="B1900" s="82"/>
      <c r="C1900" s="66"/>
      <c r="D1900" s="66"/>
      <c r="E1900" s="66"/>
      <c r="F1900" s="66"/>
      <c r="G1900" s="66"/>
      <c r="H1900" s="66"/>
      <c r="I1900" s="66"/>
      <c r="J1900" s="66"/>
    </row>
    <row r="1901">
      <c r="A1901" s="82"/>
      <c r="B1901" s="82"/>
      <c r="C1901" s="66"/>
      <c r="D1901" s="66"/>
      <c r="E1901" s="66"/>
      <c r="F1901" s="66"/>
      <c r="G1901" s="66"/>
      <c r="H1901" s="66"/>
      <c r="I1901" s="66"/>
      <c r="J1901" s="66"/>
    </row>
    <row r="1902">
      <c r="A1902" s="82"/>
      <c r="B1902" s="82"/>
      <c r="C1902" s="66"/>
      <c r="D1902" s="66"/>
      <c r="E1902" s="66"/>
      <c r="F1902" s="66"/>
      <c r="G1902" s="66"/>
      <c r="H1902" s="66"/>
      <c r="I1902" s="66"/>
      <c r="J1902" s="66"/>
    </row>
    <row r="1903">
      <c r="A1903" s="82"/>
      <c r="B1903" s="82"/>
      <c r="C1903" s="66"/>
      <c r="D1903" s="66"/>
      <c r="E1903" s="66"/>
      <c r="F1903" s="66"/>
      <c r="G1903" s="66"/>
      <c r="H1903" s="66"/>
      <c r="I1903" s="66"/>
      <c r="J1903" s="66"/>
    </row>
    <row r="1904">
      <c r="A1904" s="82"/>
      <c r="B1904" s="82"/>
      <c r="C1904" s="66"/>
      <c r="D1904" s="66"/>
      <c r="E1904" s="66"/>
      <c r="F1904" s="66"/>
      <c r="G1904" s="66"/>
      <c r="H1904" s="66"/>
      <c r="I1904" s="66"/>
      <c r="J1904" s="66"/>
    </row>
    <row r="1905">
      <c r="A1905" s="82"/>
      <c r="B1905" s="82"/>
      <c r="C1905" s="66"/>
      <c r="D1905" s="66"/>
      <c r="E1905" s="66"/>
      <c r="F1905" s="66"/>
      <c r="G1905" s="66"/>
      <c r="H1905" s="66"/>
      <c r="I1905" s="66"/>
      <c r="J1905" s="66"/>
    </row>
    <row r="1906">
      <c r="A1906" s="82"/>
      <c r="B1906" s="82"/>
      <c r="C1906" s="66"/>
      <c r="D1906" s="66"/>
      <c r="E1906" s="66"/>
      <c r="F1906" s="66"/>
      <c r="G1906" s="66"/>
      <c r="H1906" s="66"/>
      <c r="I1906" s="66"/>
      <c r="J1906" s="66"/>
    </row>
    <row r="1907">
      <c r="A1907" s="82"/>
      <c r="B1907" s="82"/>
      <c r="C1907" s="66"/>
      <c r="D1907" s="66"/>
      <c r="E1907" s="66"/>
      <c r="F1907" s="66"/>
      <c r="G1907" s="66"/>
      <c r="H1907" s="66"/>
      <c r="I1907" s="66"/>
      <c r="J1907" s="66"/>
    </row>
    <row r="1908">
      <c r="A1908" s="82"/>
      <c r="B1908" s="82"/>
      <c r="C1908" s="66"/>
      <c r="D1908" s="66"/>
      <c r="E1908" s="66"/>
      <c r="F1908" s="66"/>
      <c r="G1908" s="66"/>
      <c r="H1908" s="66"/>
      <c r="I1908" s="66"/>
      <c r="J1908" s="66"/>
    </row>
    <row r="1909">
      <c r="A1909" s="82"/>
      <c r="B1909" s="82"/>
      <c r="C1909" s="66"/>
      <c r="D1909" s="66"/>
      <c r="E1909" s="66"/>
      <c r="F1909" s="66"/>
      <c r="G1909" s="66"/>
      <c r="H1909" s="66"/>
      <c r="I1909" s="66"/>
      <c r="J1909" s="66"/>
    </row>
    <row r="1910">
      <c r="A1910" s="82"/>
      <c r="B1910" s="82"/>
      <c r="C1910" s="66"/>
      <c r="D1910" s="66"/>
      <c r="E1910" s="66"/>
      <c r="F1910" s="66"/>
      <c r="G1910" s="66"/>
      <c r="H1910" s="66"/>
      <c r="I1910" s="66"/>
      <c r="J1910" s="66"/>
    </row>
    <row r="1911">
      <c r="A1911" s="82"/>
      <c r="B1911" s="82"/>
      <c r="C1911" s="66"/>
      <c r="D1911" s="66"/>
      <c r="E1911" s="66"/>
      <c r="F1911" s="66"/>
      <c r="G1911" s="66"/>
      <c r="H1911" s="66"/>
      <c r="I1911" s="66"/>
      <c r="J1911" s="66"/>
    </row>
    <row r="1912">
      <c r="A1912" s="82"/>
      <c r="B1912" s="82"/>
      <c r="C1912" s="66"/>
      <c r="D1912" s="66"/>
      <c r="E1912" s="66"/>
      <c r="F1912" s="66"/>
      <c r="G1912" s="66"/>
      <c r="H1912" s="66"/>
      <c r="I1912" s="66"/>
      <c r="J1912" s="66"/>
    </row>
    <row r="1913">
      <c r="A1913" s="82"/>
      <c r="B1913" s="82"/>
      <c r="C1913" s="66"/>
      <c r="D1913" s="66"/>
      <c r="E1913" s="66"/>
      <c r="F1913" s="66"/>
      <c r="G1913" s="66"/>
      <c r="H1913" s="66"/>
      <c r="I1913" s="66"/>
      <c r="J1913" s="66"/>
    </row>
    <row r="1914">
      <c r="A1914" s="82"/>
      <c r="B1914" s="82"/>
      <c r="C1914" s="66"/>
      <c r="D1914" s="66"/>
      <c r="E1914" s="66"/>
      <c r="F1914" s="66"/>
      <c r="G1914" s="66"/>
      <c r="H1914" s="66"/>
      <c r="I1914" s="66"/>
      <c r="J1914" s="66"/>
    </row>
    <row r="1915">
      <c r="A1915" s="82"/>
      <c r="B1915" s="82"/>
      <c r="C1915" s="66"/>
      <c r="D1915" s="66"/>
      <c r="E1915" s="66"/>
      <c r="F1915" s="66"/>
      <c r="G1915" s="66"/>
      <c r="H1915" s="66"/>
      <c r="I1915" s="66"/>
      <c r="J1915" s="66"/>
    </row>
    <row r="1916">
      <c r="A1916" s="82"/>
      <c r="B1916" s="82"/>
      <c r="C1916" s="66"/>
      <c r="D1916" s="66"/>
      <c r="E1916" s="66"/>
      <c r="F1916" s="66"/>
      <c r="G1916" s="66"/>
      <c r="H1916" s="66"/>
      <c r="I1916" s="66"/>
      <c r="J1916" s="66"/>
    </row>
    <row r="1917">
      <c r="A1917" s="82"/>
      <c r="B1917" s="82"/>
      <c r="C1917" s="66"/>
      <c r="D1917" s="66"/>
      <c r="E1917" s="66"/>
      <c r="F1917" s="66"/>
      <c r="G1917" s="66"/>
      <c r="H1917" s="66"/>
      <c r="I1917" s="66"/>
      <c r="J1917" s="66"/>
    </row>
    <row r="1918">
      <c r="A1918" s="82"/>
      <c r="B1918" s="82"/>
      <c r="C1918" s="66"/>
      <c r="D1918" s="66"/>
      <c r="E1918" s="66"/>
      <c r="F1918" s="66"/>
      <c r="G1918" s="66"/>
      <c r="H1918" s="66"/>
      <c r="I1918" s="66"/>
      <c r="J1918" s="66"/>
    </row>
    <row r="1919">
      <c r="A1919" s="82"/>
      <c r="B1919" s="82"/>
      <c r="C1919" s="66"/>
      <c r="D1919" s="66"/>
      <c r="E1919" s="66"/>
      <c r="F1919" s="66"/>
      <c r="G1919" s="66"/>
      <c r="H1919" s="66"/>
      <c r="I1919" s="66"/>
      <c r="J1919" s="66"/>
    </row>
    <row r="1920">
      <c r="A1920" s="82"/>
      <c r="B1920" s="82"/>
      <c r="C1920" s="66"/>
      <c r="D1920" s="66"/>
      <c r="E1920" s="66"/>
      <c r="F1920" s="66"/>
      <c r="G1920" s="66"/>
      <c r="H1920" s="66"/>
      <c r="I1920" s="66"/>
      <c r="J1920" s="66"/>
    </row>
    <row r="1921">
      <c r="A1921" s="82"/>
      <c r="B1921" s="82"/>
      <c r="C1921" s="66"/>
      <c r="D1921" s="66"/>
      <c r="E1921" s="66"/>
      <c r="F1921" s="66"/>
      <c r="G1921" s="66"/>
      <c r="H1921" s="66"/>
      <c r="I1921" s="66"/>
      <c r="J1921" s="66"/>
    </row>
    <row r="1922">
      <c r="A1922" s="82"/>
      <c r="B1922" s="82"/>
      <c r="C1922" s="66"/>
      <c r="D1922" s="66"/>
      <c r="E1922" s="66"/>
      <c r="F1922" s="66"/>
      <c r="G1922" s="66"/>
      <c r="H1922" s="66"/>
      <c r="I1922" s="66"/>
      <c r="J1922" s="66"/>
    </row>
    <row r="1923">
      <c r="A1923" s="82"/>
      <c r="B1923" s="82"/>
      <c r="C1923" s="66"/>
      <c r="D1923" s="66"/>
      <c r="E1923" s="66"/>
      <c r="F1923" s="66"/>
      <c r="G1923" s="66"/>
      <c r="H1923" s="66"/>
      <c r="I1923" s="66"/>
      <c r="J1923" s="66"/>
    </row>
    <row r="1924">
      <c r="A1924" s="82"/>
      <c r="B1924" s="82"/>
      <c r="C1924" s="66"/>
      <c r="D1924" s="66"/>
      <c r="E1924" s="66"/>
      <c r="F1924" s="66"/>
      <c r="G1924" s="66"/>
      <c r="H1924" s="66"/>
      <c r="I1924" s="66"/>
      <c r="J1924" s="66"/>
    </row>
    <row r="1925">
      <c r="A1925" s="82"/>
      <c r="B1925" s="82"/>
      <c r="C1925" s="66"/>
      <c r="D1925" s="66"/>
      <c r="E1925" s="66"/>
      <c r="F1925" s="66"/>
      <c r="G1925" s="66"/>
      <c r="H1925" s="66"/>
      <c r="I1925" s="66"/>
      <c r="J1925" s="66"/>
    </row>
    <row r="1926">
      <c r="A1926" s="82"/>
      <c r="B1926" s="82"/>
      <c r="C1926" s="66"/>
      <c r="D1926" s="66"/>
      <c r="E1926" s="66"/>
      <c r="F1926" s="66"/>
      <c r="G1926" s="66"/>
      <c r="H1926" s="66"/>
      <c r="I1926" s="66"/>
      <c r="J1926" s="66"/>
    </row>
    <row r="1927">
      <c r="A1927" s="82"/>
      <c r="B1927" s="82"/>
      <c r="C1927" s="66"/>
      <c r="D1927" s="66"/>
      <c r="E1927" s="66"/>
      <c r="F1927" s="66"/>
      <c r="G1927" s="66"/>
      <c r="H1927" s="66"/>
      <c r="I1927" s="66"/>
      <c r="J1927" s="66"/>
    </row>
    <row r="1928">
      <c r="A1928" s="82"/>
      <c r="B1928" s="82"/>
      <c r="C1928" s="66"/>
      <c r="D1928" s="66"/>
      <c r="E1928" s="66"/>
      <c r="F1928" s="66"/>
      <c r="G1928" s="66"/>
      <c r="H1928" s="66"/>
      <c r="I1928" s="66"/>
      <c r="J1928" s="66"/>
    </row>
    <row r="1929">
      <c r="A1929" s="82"/>
      <c r="B1929" s="82"/>
      <c r="C1929" s="66"/>
      <c r="D1929" s="66"/>
      <c r="E1929" s="66"/>
      <c r="F1929" s="66"/>
      <c r="G1929" s="66"/>
      <c r="H1929" s="66"/>
      <c r="I1929" s="66"/>
      <c r="J1929" s="66"/>
    </row>
    <row r="1930">
      <c r="A1930" s="82"/>
      <c r="B1930" s="82"/>
      <c r="C1930" s="66"/>
      <c r="D1930" s="66"/>
      <c r="E1930" s="66"/>
      <c r="F1930" s="66"/>
      <c r="G1930" s="66"/>
      <c r="H1930" s="66"/>
      <c r="I1930" s="66"/>
      <c r="J1930" s="66"/>
    </row>
    <row r="1931">
      <c r="A1931" s="82"/>
      <c r="B1931" s="82"/>
      <c r="C1931" s="66"/>
      <c r="D1931" s="66"/>
      <c r="E1931" s="66"/>
      <c r="F1931" s="66"/>
      <c r="G1931" s="66"/>
      <c r="H1931" s="66"/>
      <c r="I1931" s="66"/>
      <c r="J1931" s="66"/>
    </row>
    <row r="1932">
      <c r="A1932" s="82"/>
      <c r="B1932" s="82"/>
      <c r="C1932" s="66"/>
      <c r="D1932" s="66"/>
      <c r="E1932" s="66"/>
      <c r="F1932" s="66"/>
      <c r="G1932" s="66"/>
      <c r="H1932" s="66"/>
      <c r="I1932" s="66"/>
      <c r="J1932" s="66"/>
    </row>
    <row r="1933">
      <c r="A1933" s="82"/>
      <c r="B1933" s="82"/>
      <c r="C1933" s="66"/>
      <c r="D1933" s="66"/>
      <c r="E1933" s="66"/>
      <c r="F1933" s="66"/>
      <c r="G1933" s="66"/>
      <c r="H1933" s="66"/>
      <c r="I1933" s="66"/>
      <c r="J1933" s="66"/>
    </row>
    <row r="1934">
      <c r="A1934" s="82"/>
      <c r="B1934" s="82"/>
      <c r="C1934" s="66"/>
      <c r="D1934" s="66"/>
      <c r="E1934" s="66"/>
      <c r="F1934" s="66"/>
      <c r="G1934" s="66"/>
      <c r="H1934" s="66"/>
      <c r="I1934" s="66"/>
      <c r="J1934" s="66"/>
    </row>
    <row r="1935">
      <c r="A1935" s="82"/>
      <c r="B1935" s="82"/>
      <c r="C1935" s="66"/>
      <c r="D1935" s="66"/>
      <c r="E1935" s="66"/>
      <c r="F1935" s="66"/>
      <c r="G1935" s="66"/>
      <c r="H1935" s="66"/>
      <c r="I1935" s="66"/>
      <c r="J1935" s="66"/>
    </row>
    <row r="1936">
      <c r="A1936" s="82"/>
      <c r="B1936" s="82"/>
      <c r="C1936" s="66"/>
      <c r="D1936" s="66"/>
      <c r="E1936" s="66"/>
      <c r="F1936" s="66"/>
      <c r="G1936" s="66"/>
      <c r="H1936" s="66"/>
      <c r="I1936" s="66"/>
      <c r="J1936" s="66"/>
    </row>
    <row r="1937">
      <c r="A1937" s="82"/>
      <c r="B1937" s="82"/>
      <c r="C1937" s="66"/>
      <c r="D1937" s="66"/>
      <c r="E1937" s="66"/>
      <c r="F1937" s="66"/>
      <c r="G1937" s="66"/>
      <c r="H1937" s="66"/>
      <c r="I1937" s="66"/>
      <c r="J1937" s="66"/>
    </row>
    <row r="1938">
      <c r="A1938" s="82"/>
      <c r="B1938" s="82"/>
      <c r="C1938" s="66"/>
      <c r="D1938" s="66"/>
      <c r="E1938" s="66"/>
      <c r="F1938" s="66"/>
      <c r="G1938" s="66"/>
      <c r="H1938" s="66"/>
      <c r="I1938" s="66"/>
      <c r="J1938" s="66"/>
    </row>
    <row r="1939">
      <c r="A1939" s="82"/>
      <c r="B1939" s="82"/>
      <c r="C1939" s="66"/>
      <c r="D1939" s="66"/>
      <c r="E1939" s="66"/>
      <c r="F1939" s="66"/>
      <c r="G1939" s="66"/>
      <c r="H1939" s="66"/>
      <c r="I1939" s="66"/>
      <c r="J1939" s="66"/>
    </row>
    <row r="1940">
      <c r="A1940" s="82"/>
      <c r="B1940" s="82"/>
      <c r="C1940" s="66"/>
      <c r="D1940" s="66"/>
      <c r="E1940" s="66"/>
      <c r="F1940" s="66"/>
      <c r="G1940" s="66"/>
      <c r="H1940" s="66"/>
      <c r="I1940" s="66"/>
      <c r="J1940" s="66"/>
    </row>
    <row r="1941">
      <c r="A1941" s="82"/>
      <c r="B1941" s="82"/>
      <c r="C1941" s="66"/>
      <c r="D1941" s="66"/>
      <c r="E1941" s="66"/>
      <c r="F1941" s="66"/>
      <c r="G1941" s="66"/>
      <c r="H1941" s="66"/>
      <c r="I1941" s="66"/>
      <c r="J1941" s="66"/>
    </row>
    <row r="1942">
      <c r="A1942" s="82"/>
      <c r="B1942" s="82"/>
      <c r="C1942" s="66"/>
      <c r="D1942" s="66"/>
      <c r="E1942" s="66"/>
      <c r="F1942" s="66"/>
      <c r="G1942" s="66"/>
      <c r="H1942" s="66"/>
      <c r="I1942" s="66"/>
      <c r="J1942" s="66"/>
    </row>
    <row r="1943">
      <c r="A1943" s="82"/>
      <c r="B1943" s="82"/>
      <c r="C1943" s="66"/>
      <c r="D1943" s="66"/>
      <c r="E1943" s="66"/>
      <c r="F1943" s="66"/>
      <c r="G1943" s="66"/>
      <c r="H1943" s="66"/>
      <c r="I1943" s="66"/>
      <c r="J1943" s="66"/>
    </row>
    <row r="1944">
      <c r="A1944" s="82"/>
      <c r="B1944" s="82"/>
      <c r="C1944" s="66"/>
      <c r="D1944" s="66"/>
      <c r="E1944" s="66"/>
      <c r="F1944" s="66"/>
      <c r="G1944" s="66"/>
      <c r="H1944" s="66"/>
      <c r="I1944" s="66"/>
      <c r="J1944" s="66"/>
    </row>
    <row r="1945">
      <c r="A1945" s="82"/>
      <c r="B1945" s="82"/>
      <c r="C1945" s="66"/>
      <c r="D1945" s="66"/>
      <c r="E1945" s="66"/>
      <c r="F1945" s="66"/>
      <c r="G1945" s="66"/>
      <c r="H1945" s="66"/>
      <c r="I1945" s="66"/>
      <c r="J1945" s="66"/>
    </row>
    <row r="1946">
      <c r="A1946" s="82"/>
      <c r="B1946" s="82"/>
      <c r="C1946" s="66"/>
      <c r="D1946" s="66"/>
      <c r="E1946" s="66"/>
      <c r="F1946" s="66"/>
      <c r="G1946" s="66"/>
      <c r="H1946" s="66"/>
      <c r="I1946" s="66"/>
      <c r="J1946" s="66"/>
    </row>
    <row r="1947">
      <c r="A1947" s="82"/>
      <c r="B1947" s="82"/>
      <c r="C1947" s="66"/>
      <c r="D1947" s="66"/>
      <c r="E1947" s="66"/>
      <c r="F1947" s="66"/>
      <c r="G1947" s="66"/>
      <c r="H1947" s="66"/>
      <c r="I1947" s="66"/>
      <c r="J1947" s="66"/>
    </row>
    <row r="1948">
      <c r="A1948" s="82"/>
      <c r="B1948" s="82"/>
      <c r="C1948" s="66"/>
      <c r="D1948" s="66"/>
      <c r="E1948" s="66"/>
      <c r="F1948" s="66"/>
      <c r="G1948" s="66"/>
      <c r="H1948" s="66"/>
      <c r="I1948" s="66"/>
      <c r="J1948" s="66"/>
    </row>
    <row r="1949">
      <c r="A1949" s="82"/>
      <c r="B1949" s="82"/>
      <c r="C1949" s="66"/>
      <c r="D1949" s="66"/>
      <c r="E1949" s="66"/>
      <c r="F1949" s="66"/>
      <c r="G1949" s="66"/>
      <c r="H1949" s="66"/>
      <c r="I1949" s="66"/>
      <c r="J1949" s="66"/>
    </row>
    <row r="1950">
      <c r="A1950" s="82"/>
      <c r="B1950" s="82"/>
      <c r="C1950" s="66"/>
      <c r="D1950" s="66"/>
      <c r="E1950" s="66"/>
      <c r="F1950" s="66"/>
      <c r="G1950" s="66"/>
      <c r="H1950" s="66"/>
      <c r="I1950" s="66"/>
      <c r="J1950" s="66"/>
    </row>
    <row r="1951">
      <c r="A1951" s="82"/>
      <c r="B1951" s="82"/>
      <c r="C1951" s="66"/>
      <c r="D1951" s="66"/>
      <c r="E1951" s="66"/>
      <c r="F1951" s="66"/>
      <c r="G1951" s="66"/>
      <c r="H1951" s="66"/>
      <c r="I1951" s="66"/>
      <c r="J1951" s="66"/>
    </row>
    <row r="1952">
      <c r="A1952" s="82"/>
      <c r="B1952" s="82"/>
      <c r="C1952" s="66"/>
      <c r="D1952" s="66"/>
      <c r="E1952" s="66"/>
      <c r="F1952" s="66"/>
      <c r="G1952" s="66"/>
      <c r="H1952" s="66"/>
      <c r="I1952" s="66"/>
      <c r="J1952" s="66"/>
    </row>
    <row r="1953">
      <c r="A1953" s="82"/>
      <c r="B1953" s="82"/>
      <c r="C1953" s="66"/>
      <c r="D1953" s="66"/>
      <c r="E1953" s="66"/>
      <c r="F1953" s="66"/>
      <c r="G1953" s="66"/>
      <c r="H1953" s="66"/>
      <c r="I1953" s="66"/>
      <c r="J1953" s="66"/>
    </row>
    <row r="1954">
      <c r="A1954" s="82"/>
      <c r="B1954" s="82"/>
      <c r="C1954" s="66"/>
      <c r="D1954" s="66"/>
      <c r="E1954" s="66"/>
      <c r="F1954" s="66"/>
      <c r="G1954" s="66"/>
      <c r="H1954" s="66"/>
      <c r="I1954" s="66"/>
      <c r="J1954" s="66"/>
    </row>
    <row r="1955">
      <c r="A1955" s="82"/>
      <c r="B1955" s="82"/>
      <c r="C1955" s="66"/>
      <c r="D1955" s="66"/>
      <c r="E1955" s="66"/>
      <c r="F1955" s="66"/>
      <c r="G1955" s="66"/>
      <c r="H1955" s="66"/>
      <c r="I1955" s="66"/>
      <c r="J1955" s="66"/>
    </row>
    <row r="1956">
      <c r="A1956" s="82"/>
      <c r="B1956" s="82"/>
      <c r="C1956" s="66"/>
      <c r="D1956" s="66"/>
      <c r="E1956" s="66"/>
      <c r="F1956" s="66"/>
      <c r="G1956" s="66"/>
      <c r="H1956" s="66"/>
      <c r="I1956" s="66"/>
      <c r="J1956" s="66"/>
    </row>
    <row r="1957">
      <c r="A1957" s="82"/>
      <c r="B1957" s="82"/>
      <c r="C1957" s="66"/>
      <c r="D1957" s="66"/>
      <c r="E1957" s="66"/>
      <c r="F1957" s="66"/>
      <c r="G1957" s="66"/>
      <c r="H1957" s="66"/>
      <c r="I1957" s="66"/>
      <c r="J1957" s="66"/>
    </row>
    <row r="1958">
      <c r="A1958" s="82"/>
      <c r="B1958" s="82"/>
      <c r="C1958" s="66"/>
      <c r="D1958" s="66"/>
      <c r="E1958" s="66"/>
      <c r="F1958" s="66"/>
      <c r="G1958" s="66"/>
      <c r="H1958" s="66"/>
      <c r="I1958" s="66"/>
      <c r="J1958" s="66"/>
    </row>
    <row r="1959">
      <c r="A1959" s="82"/>
      <c r="B1959" s="82"/>
      <c r="C1959" s="66"/>
      <c r="D1959" s="66"/>
      <c r="E1959" s="66"/>
      <c r="F1959" s="66"/>
      <c r="G1959" s="66"/>
      <c r="H1959" s="66"/>
      <c r="I1959" s="66"/>
      <c r="J1959" s="66"/>
    </row>
    <row r="1960">
      <c r="A1960" s="82"/>
      <c r="B1960" s="82"/>
      <c r="C1960" s="66"/>
      <c r="D1960" s="66"/>
      <c r="E1960" s="66"/>
      <c r="F1960" s="66"/>
      <c r="G1960" s="66"/>
      <c r="H1960" s="66"/>
      <c r="I1960" s="66"/>
      <c r="J1960" s="66"/>
    </row>
    <row r="1961">
      <c r="A1961" s="82"/>
      <c r="B1961" s="82"/>
      <c r="C1961" s="66"/>
      <c r="D1961" s="66"/>
      <c r="E1961" s="66"/>
      <c r="F1961" s="66"/>
      <c r="G1961" s="66"/>
      <c r="H1961" s="66"/>
      <c r="I1961" s="66"/>
      <c r="J1961" s="66"/>
    </row>
    <row r="1962">
      <c r="A1962" s="82"/>
      <c r="B1962" s="82"/>
      <c r="C1962" s="66"/>
      <c r="D1962" s="66"/>
      <c r="E1962" s="66"/>
      <c r="F1962" s="66"/>
      <c r="G1962" s="66"/>
      <c r="H1962" s="66"/>
      <c r="I1962" s="66"/>
      <c r="J1962" s="66"/>
    </row>
    <row r="1963">
      <c r="A1963" s="82"/>
      <c r="B1963" s="82"/>
      <c r="C1963" s="66"/>
      <c r="D1963" s="66"/>
      <c r="E1963" s="66"/>
      <c r="F1963" s="66"/>
      <c r="G1963" s="66"/>
      <c r="H1963" s="66"/>
      <c r="I1963" s="66"/>
      <c r="J1963" s="66"/>
    </row>
    <row r="1964">
      <c r="A1964" s="82"/>
      <c r="B1964" s="82"/>
      <c r="C1964" s="66"/>
      <c r="D1964" s="66"/>
      <c r="E1964" s="66"/>
      <c r="F1964" s="66"/>
      <c r="G1964" s="66"/>
      <c r="H1964" s="66"/>
      <c r="I1964" s="66"/>
      <c r="J1964" s="66"/>
    </row>
    <row r="1965">
      <c r="A1965" s="82"/>
      <c r="B1965" s="82"/>
      <c r="C1965" s="66"/>
      <c r="D1965" s="66"/>
      <c r="E1965" s="66"/>
      <c r="F1965" s="66"/>
      <c r="G1965" s="66"/>
      <c r="H1965" s="66"/>
      <c r="I1965" s="66"/>
      <c r="J1965" s="66"/>
    </row>
    <row r="1966">
      <c r="A1966" s="82"/>
      <c r="B1966" s="82"/>
      <c r="C1966" s="66"/>
      <c r="D1966" s="66"/>
      <c r="E1966" s="66"/>
      <c r="F1966" s="66"/>
      <c r="G1966" s="66"/>
      <c r="H1966" s="66"/>
      <c r="I1966" s="66"/>
      <c r="J1966" s="66"/>
    </row>
    <row r="1967">
      <c r="A1967" s="82"/>
      <c r="B1967" s="82"/>
      <c r="C1967" s="66"/>
      <c r="D1967" s="66"/>
      <c r="E1967" s="66"/>
      <c r="F1967" s="66"/>
      <c r="G1967" s="66"/>
      <c r="H1967" s="66"/>
      <c r="I1967" s="66"/>
      <c r="J1967" s="66"/>
    </row>
    <row r="1968">
      <c r="A1968" s="82"/>
      <c r="B1968" s="82"/>
      <c r="C1968" s="66"/>
      <c r="D1968" s="66"/>
      <c r="E1968" s="66"/>
      <c r="F1968" s="66"/>
      <c r="G1968" s="66"/>
      <c r="H1968" s="66"/>
      <c r="I1968" s="66"/>
      <c r="J1968" s="66"/>
    </row>
    <row r="1969">
      <c r="A1969" s="82"/>
      <c r="B1969" s="82"/>
      <c r="C1969" s="66"/>
      <c r="D1969" s="66"/>
      <c r="E1969" s="66"/>
      <c r="F1969" s="66"/>
      <c r="G1969" s="66"/>
      <c r="H1969" s="66"/>
      <c r="I1969" s="66"/>
      <c r="J1969" s="66"/>
    </row>
    <row r="1970">
      <c r="A1970" s="82"/>
      <c r="B1970" s="82"/>
      <c r="C1970" s="66"/>
      <c r="D1970" s="66"/>
      <c r="E1970" s="66"/>
      <c r="F1970" s="66"/>
      <c r="G1970" s="66"/>
      <c r="H1970" s="66"/>
      <c r="I1970" s="66"/>
      <c r="J1970" s="66"/>
    </row>
    <row r="1971">
      <c r="A1971" s="82"/>
      <c r="B1971" s="82"/>
      <c r="C1971" s="66"/>
      <c r="D1971" s="66"/>
      <c r="E1971" s="66"/>
      <c r="F1971" s="66"/>
      <c r="G1971" s="66"/>
      <c r="H1971" s="66"/>
      <c r="I1971" s="66"/>
      <c r="J1971" s="66"/>
    </row>
    <row r="1972">
      <c r="A1972" s="82"/>
      <c r="B1972" s="82"/>
      <c r="C1972" s="66"/>
      <c r="D1972" s="66"/>
      <c r="E1972" s="66"/>
      <c r="F1972" s="66"/>
      <c r="G1972" s="66"/>
      <c r="H1972" s="66"/>
      <c r="I1972" s="66"/>
      <c r="J1972" s="66"/>
    </row>
    <row r="1973">
      <c r="A1973" s="82"/>
      <c r="B1973" s="82"/>
      <c r="C1973" s="66"/>
      <c r="D1973" s="66"/>
      <c r="E1973" s="66"/>
      <c r="F1973" s="66"/>
      <c r="G1973" s="66"/>
      <c r="H1973" s="66"/>
      <c r="I1973" s="66"/>
      <c r="J1973" s="66"/>
    </row>
    <row r="1974">
      <c r="A1974" s="82"/>
      <c r="B1974" s="82"/>
      <c r="C1974" s="66"/>
      <c r="D1974" s="66"/>
      <c r="E1974" s="66"/>
      <c r="F1974" s="66"/>
      <c r="G1974" s="66"/>
      <c r="H1974" s="66"/>
      <c r="I1974" s="66"/>
      <c r="J1974" s="66"/>
    </row>
    <row r="1975">
      <c r="A1975" s="82"/>
      <c r="B1975" s="82"/>
      <c r="C1975" s="66"/>
      <c r="D1975" s="66"/>
      <c r="E1975" s="66"/>
      <c r="F1975" s="66"/>
      <c r="G1975" s="66"/>
      <c r="H1975" s="66"/>
      <c r="I1975" s="66"/>
      <c r="J1975" s="66"/>
    </row>
    <row r="1976">
      <c r="A1976" s="82"/>
      <c r="B1976" s="82"/>
      <c r="C1976" s="66"/>
      <c r="D1976" s="66"/>
      <c r="E1976" s="66"/>
      <c r="F1976" s="66"/>
      <c r="G1976" s="66"/>
      <c r="H1976" s="66"/>
      <c r="I1976" s="66"/>
      <c r="J1976" s="66"/>
    </row>
    <row r="1977">
      <c r="A1977" s="82"/>
      <c r="B1977" s="82"/>
      <c r="C1977" s="66"/>
      <c r="D1977" s="66"/>
      <c r="E1977" s="66"/>
      <c r="F1977" s="66"/>
      <c r="G1977" s="66"/>
      <c r="H1977" s="66"/>
      <c r="I1977" s="66"/>
      <c r="J1977" s="66"/>
    </row>
    <row r="1978">
      <c r="A1978" s="82"/>
      <c r="B1978" s="82"/>
      <c r="C1978" s="66"/>
      <c r="D1978" s="66"/>
      <c r="E1978" s="66"/>
      <c r="F1978" s="66"/>
      <c r="G1978" s="66"/>
      <c r="H1978" s="66"/>
      <c r="I1978" s="66"/>
      <c r="J1978" s="66"/>
    </row>
    <row r="1979">
      <c r="A1979" s="82"/>
      <c r="B1979" s="82"/>
      <c r="C1979" s="66"/>
      <c r="D1979" s="66"/>
      <c r="E1979" s="66"/>
      <c r="F1979" s="66"/>
      <c r="G1979" s="66"/>
      <c r="H1979" s="66"/>
      <c r="I1979" s="66"/>
      <c r="J1979" s="66"/>
    </row>
    <row r="1980">
      <c r="A1980" s="82"/>
      <c r="B1980" s="82"/>
      <c r="C1980" s="66"/>
      <c r="D1980" s="66"/>
      <c r="E1980" s="66"/>
      <c r="F1980" s="66"/>
      <c r="G1980" s="66"/>
      <c r="H1980" s="66"/>
      <c r="I1980" s="66"/>
      <c r="J1980" s="66"/>
    </row>
    <row r="1981">
      <c r="A1981" s="82"/>
      <c r="B1981" s="82"/>
      <c r="C1981" s="66"/>
      <c r="D1981" s="66"/>
      <c r="E1981" s="66"/>
      <c r="F1981" s="66"/>
      <c r="G1981" s="66"/>
      <c r="H1981" s="66"/>
      <c r="I1981" s="66"/>
      <c r="J1981" s="66"/>
    </row>
    <row r="1982">
      <c r="A1982" s="82"/>
      <c r="B1982" s="82"/>
      <c r="C1982" s="66"/>
      <c r="D1982" s="66"/>
      <c r="E1982" s="66"/>
      <c r="F1982" s="66"/>
      <c r="G1982" s="66"/>
      <c r="H1982" s="66"/>
      <c r="I1982" s="66"/>
      <c r="J1982" s="66"/>
    </row>
    <row r="1983">
      <c r="A1983" s="82"/>
      <c r="B1983" s="82"/>
      <c r="C1983" s="66"/>
      <c r="D1983" s="66"/>
      <c r="E1983" s="66"/>
      <c r="F1983" s="66"/>
      <c r="G1983" s="66"/>
      <c r="H1983" s="66"/>
      <c r="I1983" s="66"/>
      <c r="J1983" s="66"/>
    </row>
    <row r="1984">
      <c r="A1984" s="82"/>
      <c r="B1984" s="82"/>
      <c r="C1984" s="66"/>
      <c r="D1984" s="66"/>
      <c r="E1984" s="66"/>
      <c r="F1984" s="66"/>
      <c r="G1984" s="66"/>
      <c r="H1984" s="66"/>
      <c r="I1984" s="66"/>
      <c r="J1984" s="66"/>
    </row>
    <row r="1985">
      <c r="A1985" s="82"/>
      <c r="B1985" s="82"/>
      <c r="C1985" s="66"/>
      <c r="D1985" s="66"/>
      <c r="E1985" s="66"/>
      <c r="F1985" s="66"/>
      <c r="G1985" s="66"/>
      <c r="H1985" s="66"/>
      <c r="I1985" s="66"/>
      <c r="J1985" s="66"/>
    </row>
    <row r="1986">
      <c r="A1986" s="82"/>
      <c r="B1986" s="82"/>
      <c r="C1986" s="66"/>
      <c r="D1986" s="66"/>
      <c r="E1986" s="66"/>
      <c r="F1986" s="66"/>
      <c r="G1986" s="66"/>
      <c r="H1986" s="66"/>
      <c r="I1986" s="66"/>
      <c r="J1986" s="66"/>
    </row>
    <row r="1987">
      <c r="A1987" s="82"/>
      <c r="B1987" s="82"/>
      <c r="C1987" s="66"/>
      <c r="D1987" s="66"/>
      <c r="E1987" s="66"/>
      <c r="F1987" s="66"/>
      <c r="G1987" s="66"/>
      <c r="H1987" s="66"/>
      <c r="I1987" s="66"/>
      <c r="J1987" s="66"/>
    </row>
    <row r="1988">
      <c r="A1988" s="82"/>
      <c r="B1988" s="82"/>
      <c r="C1988" s="66"/>
      <c r="D1988" s="66"/>
      <c r="E1988" s="66"/>
      <c r="F1988" s="66"/>
      <c r="G1988" s="66"/>
      <c r="H1988" s="66"/>
      <c r="I1988" s="66"/>
      <c r="J1988" s="66"/>
    </row>
    <row r="1989">
      <c r="A1989" s="82"/>
      <c r="B1989" s="82"/>
      <c r="C1989" s="66"/>
      <c r="D1989" s="66"/>
      <c r="E1989" s="66"/>
      <c r="F1989" s="66"/>
      <c r="G1989" s="66"/>
      <c r="H1989" s="66"/>
      <c r="I1989" s="66"/>
      <c r="J1989" s="66"/>
    </row>
    <row r="1990">
      <c r="A1990" s="82"/>
      <c r="B1990" s="82"/>
      <c r="C1990" s="66"/>
      <c r="D1990" s="66"/>
      <c r="E1990" s="66"/>
      <c r="F1990" s="66"/>
      <c r="G1990" s="66"/>
      <c r="H1990" s="66"/>
      <c r="I1990" s="66"/>
      <c r="J1990" s="66"/>
    </row>
    <row r="1991">
      <c r="A1991" s="82"/>
      <c r="B1991" s="82"/>
      <c r="C1991" s="66"/>
      <c r="D1991" s="66"/>
      <c r="E1991" s="66"/>
      <c r="F1991" s="66"/>
      <c r="G1991" s="66"/>
      <c r="H1991" s="66"/>
      <c r="I1991" s="66"/>
      <c r="J1991" s="66"/>
    </row>
    <row r="1992">
      <c r="A1992" s="82"/>
      <c r="B1992" s="82"/>
      <c r="C1992" s="66"/>
      <c r="D1992" s="66"/>
      <c r="E1992" s="66"/>
      <c r="F1992" s="66"/>
      <c r="G1992" s="66"/>
      <c r="H1992" s="66"/>
      <c r="I1992" s="66"/>
      <c r="J1992" s="66"/>
    </row>
    <row r="1993">
      <c r="A1993" s="82"/>
      <c r="B1993" s="82"/>
      <c r="C1993" s="66"/>
      <c r="D1993" s="66"/>
      <c r="E1993" s="66"/>
      <c r="F1993" s="66"/>
      <c r="G1993" s="66"/>
      <c r="H1993" s="66"/>
      <c r="I1993" s="66"/>
      <c r="J1993" s="66"/>
    </row>
    <row r="1994">
      <c r="A1994" s="82"/>
      <c r="B1994" s="82"/>
      <c r="C1994" s="66"/>
      <c r="D1994" s="66"/>
      <c r="E1994" s="66"/>
      <c r="F1994" s="66"/>
      <c r="G1994" s="66"/>
      <c r="H1994" s="66"/>
      <c r="I1994" s="66"/>
      <c r="J1994" s="66"/>
    </row>
    <row r="1995">
      <c r="A1995" s="82"/>
      <c r="B1995" s="82"/>
      <c r="C1995" s="66"/>
      <c r="D1995" s="66"/>
      <c r="E1995" s="66"/>
      <c r="F1995" s="66"/>
      <c r="G1995" s="66"/>
      <c r="H1995" s="66"/>
      <c r="I1995" s="66"/>
      <c r="J1995" s="66"/>
    </row>
    <row r="1996">
      <c r="A1996" s="82"/>
      <c r="B1996" s="82"/>
      <c r="C1996" s="66"/>
      <c r="D1996" s="66"/>
      <c r="E1996" s="66"/>
      <c r="F1996" s="66"/>
      <c r="G1996" s="66"/>
      <c r="H1996" s="66"/>
      <c r="I1996" s="66"/>
      <c r="J1996" s="66"/>
    </row>
    <row r="1997">
      <c r="A1997" s="82"/>
      <c r="B1997" s="82"/>
      <c r="C1997" s="66"/>
      <c r="D1997" s="66"/>
      <c r="E1997" s="66"/>
      <c r="F1997" s="66"/>
      <c r="G1997" s="66"/>
      <c r="H1997" s="66"/>
      <c r="I1997" s="66"/>
      <c r="J1997" s="66"/>
    </row>
    <row r="1998">
      <c r="A1998" s="82"/>
      <c r="B1998" s="82"/>
      <c r="C1998" s="66"/>
      <c r="D1998" s="66"/>
      <c r="E1998" s="66"/>
      <c r="F1998" s="66"/>
      <c r="G1998" s="66"/>
      <c r="H1998" s="66"/>
      <c r="I1998" s="66"/>
      <c r="J1998" s="66"/>
    </row>
    <row r="1999">
      <c r="A1999" s="82"/>
      <c r="B1999" s="82"/>
      <c r="C1999" s="66"/>
      <c r="D1999" s="66"/>
      <c r="E1999" s="66"/>
      <c r="F1999" s="66"/>
      <c r="G1999" s="66"/>
      <c r="H1999" s="66"/>
      <c r="I1999" s="66"/>
      <c r="J1999" s="66"/>
    </row>
    <row r="2000">
      <c r="A2000" s="82"/>
      <c r="B2000" s="82"/>
      <c r="C2000" s="66"/>
      <c r="D2000" s="66"/>
      <c r="E2000" s="66"/>
      <c r="F2000" s="66"/>
      <c r="G2000" s="66"/>
      <c r="H2000" s="66"/>
      <c r="I2000" s="66"/>
      <c r="J2000" s="66"/>
    </row>
  </sheetData>
  <conditionalFormatting sqref="H1:L2000 N75 N77 N119 N222 N228 O747 N767:O767 N784:O784 N807:O807 N833:O833 N881 N932 N934:O934 N962:O962 N970">
    <cfRule type="cellIs" dxfId="0" priority="1" operator="lessThan">
      <formula>0</formula>
    </cfRule>
  </conditionalFormatting>
  <conditionalFormatting sqref="K1:L2000">
    <cfRule type="cellIs" dxfId="1" priority="2" operator="greaterThan">
      <formula>10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79" t="s">
        <v>178</v>
      </c>
      <c r="B1" s="79" t="s">
        <v>168</v>
      </c>
      <c r="C1" s="79" t="s">
        <v>223</v>
      </c>
      <c r="D1" s="79" t="s">
        <v>191</v>
      </c>
      <c r="E1" s="79" t="s">
        <v>170</v>
      </c>
      <c r="F1" s="79" t="s">
        <v>195</v>
      </c>
      <c r="G1" s="79" t="s">
        <v>196</v>
      </c>
      <c r="H1" s="79" t="s">
        <v>197</v>
      </c>
      <c r="I1" s="66" t="s">
        <v>224</v>
      </c>
      <c r="J1" s="66" t="s">
        <v>225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2">
        <v>44635.0</v>
      </c>
      <c r="B2" s="66">
        <v>2004.0</v>
      </c>
      <c r="C2" s="66">
        <v>1.0</v>
      </c>
      <c r="D2" s="66" t="s">
        <v>205</v>
      </c>
      <c r="E2" s="66">
        <v>0.0</v>
      </c>
      <c r="F2" s="66">
        <v>0.1899</v>
      </c>
      <c r="G2" s="66">
        <v>0.992</v>
      </c>
      <c r="H2" s="66" t="s">
        <v>226</v>
      </c>
      <c r="I2" s="81">
        <f t="shared" ref="I2:I1486" si="1">((F2-G2)/G2)</f>
        <v>-0.8085685484</v>
      </c>
      <c r="J2" s="81">
        <f t="shared" ref="J2:J1486" si="2">G2/F2</f>
        <v>5.223802001</v>
      </c>
    </row>
    <row r="3">
      <c r="A3" s="82">
        <v>44635.0</v>
      </c>
      <c r="B3" s="66">
        <v>2005.0</v>
      </c>
      <c r="C3" s="66">
        <v>1.0</v>
      </c>
      <c r="D3" s="66" t="s">
        <v>205</v>
      </c>
      <c r="E3" s="66">
        <v>0.0</v>
      </c>
      <c r="F3" s="66">
        <v>0.02371</v>
      </c>
      <c r="G3" s="66">
        <v>0.119</v>
      </c>
      <c r="I3" s="81">
        <f t="shared" si="1"/>
        <v>-0.8007563025</v>
      </c>
      <c r="J3" s="81">
        <f t="shared" si="2"/>
        <v>5.018979334</v>
      </c>
    </row>
    <row r="4">
      <c r="A4" s="82">
        <v>44635.0</v>
      </c>
      <c r="B4" s="66">
        <v>2007.0</v>
      </c>
      <c r="C4" s="66">
        <v>1.0</v>
      </c>
      <c r="D4" s="66" t="s">
        <v>205</v>
      </c>
      <c r="E4" s="66">
        <v>0.0</v>
      </c>
      <c r="F4" s="66">
        <v>0.1087</v>
      </c>
      <c r="G4" s="66">
        <v>0.1468</v>
      </c>
      <c r="I4" s="81">
        <f t="shared" si="1"/>
        <v>-0.2595367847</v>
      </c>
      <c r="J4" s="81">
        <f t="shared" si="2"/>
        <v>1.35050598</v>
      </c>
    </row>
    <row r="5">
      <c r="A5" s="82">
        <v>44635.0</v>
      </c>
      <c r="B5" s="66">
        <v>2008.0</v>
      </c>
      <c r="C5" s="66">
        <v>1.0</v>
      </c>
      <c r="D5" s="66" t="s">
        <v>205</v>
      </c>
      <c r="E5" s="66">
        <v>0.0</v>
      </c>
      <c r="F5" s="66">
        <v>0.265</v>
      </c>
      <c r="G5" s="66">
        <v>0.3535</v>
      </c>
      <c r="I5" s="81">
        <f t="shared" si="1"/>
        <v>-0.2503536068</v>
      </c>
      <c r="J5" s="81">
        <f t="shared" si="2"/>
        <v>1.333962264</v>
      </c>
    </row>
    <row r="6">
      <c r="A6" s="82">
        <v>44635.0</v>
      </c>
      <c r="B6" s="66">
        <v>2020.0</v>
      </c>
      <c r="C6" s="66">
        <v>1.0</v>
      </c>
      <c r="D6" s="66" t="s">
        <v>205</v>
      </c>
      <c r="E6" s="66">
        <v>0.0</v>
      </c>
      <c r="F6" s="66">
        <v>0.1683</v>
      </c>
      <c r="G6" s="66">
        <v>0.218</v>
      </c>
      <c r="I6" s="81">
        <f t="shared" si="1"/>
        <v>-0.2279816514</v>
      </c>
      <c r="J6" s="81">
        <f t="shared" si="2"/>
        <v>1.295306001</v>
      </c>
    </row>
    <row r="7">
      <c r="A7" s="82">
        <v>44635.0</v>
      </c>
      <c r="B7" s="66">
        <v>2021.0</v>
      </c>
      <c r="C7" s="66">
        <v>1.0</v>
      </c>
      <c r="D7" s="66" t="s">
        <v>205</v>
      </c>
      <c r="E7" s="66">
        <v>0.0</v>
      </c>
      <c r="F7" s="66">
        <v>0.5606</v>
      </c>
      <c r="G7" s="66">
        <v>0.522</v>
      </c>
      <c r="I7" s="81">
        <f t="shared" si="1"/>
        <v>0.07394636015</v>
      </c>
      <c r="J7" s="81">
        <f t="shared" si="2"/>
        <v>0.9311452016</v>
      </c>
    </row>
    <row r="8">
      <c r="A8" s="82">
        <v>44635.0</v>
      </c>
      <c r="B8" s="66">
        <v>2022.0</v>
      </c>
      <c r="C8" s="66">
        <v>1.0</v>
      </c>
      <c r="D8" s="66" t="s">
        <v>205</v>
      </c>
      <c r="E8" s="66" t="s">
        <v>58</v>
      </c>
      <c r="F8" s="66">
        <v>0.2967</v>
      </c>
      <c r="G8" s="66">
        <v>0.194</v>
      </c>
      <c r="H8" s="66" t="s">
        <v>227</v>
      </c>
      <c r="I8" s="81">
        <f t="shared" si="1"/>
        <v>0.5293814433</v>
      </c>
      <c r="J8" s="81">
        <f t="shared" si="2"/>
        <v>0.653859117</v>
      </c>
    </row>
    <row r="9">
      <c r="A9" s="82">
        <v>44635.0</v>
      </c>
      <c r="B9" s="66">
        <v>2023.0</v>
      </c>
      <c r="C9" s="66">
        <v>1.0</v>
      </c>
      <c r="D9" s="66" t="s">
        <v>205</v>
      </c>
      <c r="E9" s="66" t="s">
        <v>58</v>
      </c>
      <c r="F9" s="66">
        <v>1.2283</v>
      </c>
      <c r="G9" s="66">
        <v>0.796</v>
      </c>
      <c r="H9" s="66" t="s">
        <v>227</v>
      </c>
      <c r="I9" s="81">
        <f t="shared" si="1"/>
        <v>0.5430904523</v>
      </c>
      <c r="J9" s="81">
        <f t="shared" si="2"/>
        <v>0.6480501506</v>
      </c>
    </row>
    <row r="10">
      <c r="A10" s="82">
        <v>44635.0</v>
      </c>
      <c r="B10" s="66">
        <v>2024.0</v>
      </c>
      <c r="C10" s="66">
        <v>1.0</v>
      </c>
      <c r="D10" s="66" t="s">
        <v>205</v>
      </c>
      <c r="E10" s="66">
        <v>0.0</v>
      </c>
      <c r="F10" s="66">
        <v>0.6782</v>
      </c>
      <c r="G10" s="66">
        <v>0.437</v>
      </c>
      <c r="H10" s="66" t="s">
        <v>226</v>
      </c>
      <c r="I10" s="81">
        <f t="shared" si="1"/>
        <v>0.5519450801</v>
      </c>
      <c r="J10" s="81">
        <f t="shared" si="2"/>
        <v>0.6443526983</v>
      </c>
    </row>
    <row r="11">
      <c r="A11" s="82">
        <v>44635.0</v>
      </c>
      <c r="B11" s="66">
        <v>2025.0</v>
      </c>
      <c r="C11" s="66">
        <v>1.0</v>
      </c>
      <c r="D11" s="66" t="s">
        <v>205</v>
      </c>
      <c r="E11" s="66">
        <v>0.0</v>
      </c>
      <c r="F11" s="66">
        <v>0.458</v>
      </c>
      <c r="G11" s="66">
        <v>0.2947</v>
      </c>
      <c r="I11" s="81">
        <f t="shared" si="1"/>
        <v>0.5541228368</v>
      </c>
      <c r="J11" s="81">
        <f t="shared" si="2"/>
        <v>0.6434497817</v>
      </c>
    </row>
    <row r="12">
      <c r="A12" s="82">
        <v>44635.0</v>
      </c>
      <c r="B12" s="66">
        <v>2026.0</v>
      </c>
      <c r="C12" s="66">
        <v>1.0</v>
      </c>
      <c r="D12" s="66" t="s">
        <v>205</v>
      </c>
      <c r="E12" s="66" t="s">
        <v>58</v>
      </c>
      <c r="F12" s="66">
        <v>0.827</v>
      </c>
      <c r="G12" s="66">
        <v>0.532</v>
      </c>
      <c r="H12" s="66" t="s">
        <v>227</v>
      </c>
      <c r="I12" s="81">
        <f t="shared" si="1"/>
        <v>0.5545112782</v>
      </c>
      <c r="J12" s="81">
        <f t="shared" si="2"/>
        <v>0.6432889964</v>
      </c>
    </row>
    <row r="13">
      <c r="A13" s="82">
        <v>44635.0</v>
      </c>
      <c r="B13" s="66">
        <v>2027.0</v>
      </c>
      <c r="C13" s="66">
        <v>1.0</v>
      </c>
      <c r="D13" s="66" t="s">
        <v>205</v>
      </c>
      <c r="E13" s="66">
        <v>0.0</v>
      </c>
      <c r="F13" s="66">
        <v>2.217</v>
      </c>
      <c r="G13" s="66">
        <v>1.4172</v>
      </c>
      <c r="I13" s="81">
        <f t="shared" si="1"/>
        <v>0.5643522439</v>
      </c>
      <c r="J13" s="81">
        <f t="shared" si="2"/>
        <v>0.6392422192</v>
      </c>
    </row>
    <row r="14">
      <c r="A14" s="82">
        <v>44635.0</v>
      </c>
      <c r="B14" s="66">
        <v>2089.0</v>
      </c>
      <c r="C14" s="66">
        <v>1.0</v>
      </c>
      <c r="D14" s="66" t="s">
        <v>205</v>
      </c>
      <c r="E14" s="66" t="s">
        <v>58</v>
      </c>
      <c r="F14" s="66">
        <v>0.4477</v>
      </c>
      <c r="G14" s="66">
        <v>0.285</v>
      </c>
      <c r="I14" s="81">
        <f t="shared" si="1"/>
        <v>0.570877193</v>
      </c>
      <c r="J14" s="81">
        <f t="shared" si="2"/>
        <v>0.6365870002</v>
      </c>
    </row>
    <row r="15">
      <c r="A15" s="82">
        <v>44635.0</v>
      </c>
      <c r="B15" s="66">
        <v>2091.0</v>
      </c>
      <c r="C15" s="66">
        <v>1.0</v>
      </c>
      <c r="D15" s="66" t="s">
        <v>205</v>
      </c>
      <c r="E15" s="66" t="s">
        <v>58</v>
      </c>
      <c r="F15" s="66">
        <v>0.9965</v>
      </c>
      <c r="G15" s="66">
        <v>0.631</v>
      </c>
      <c r="H15" s="66" t="s">
        <v>227</v>
      </c>
      <c r="I15" s="81">
        <f t="shared" si="1"/>
        <v>0.5792393027</v>
      </c>
      <c r="J15" s="81">
        <f t="shared" si="2"/>
        <v>0.6332162569</v>
      </c>
    </row>
    <row r="16">
      <c r="A16" s="82">
        <v>44635.0</v>
      </c>
      <c r="B16" s="66">
        <v>2092.0</v>
      </c>
      <c r="C16" s="66">
        <v>1.0</v>
      </c>
      <c r="D16" s="66" t="s">
        <v>205</v>
      </c>
      <c r="E16" s="66" t="s">
        <v>58</v>
      </c>
      <c r="F16" s="66">
        <v>0.8877</v>
      </c>
      <c r="G16" s="66">
        <v>0.562</v>
      </c>
      <c r="H16" s="66" t="s">
        <v>226</v>
      </c>
      <c r="I16" s="81">
        <f t="shared" si="1"/>
        <v>0.5795373665</v>
      </c>
      <c r="J16" s="81">
        <f t="shared" si="2"/>
        <v>0.6330967669</v>
      </c>
    </row>
    <row r="17">
      <c r="A17" s="82">
        <v>44635.0</v>
      </c>
      <c r="B17" s="66">
        <v>2093.0</v>
      </c>
      <c r="C17" s="66">
        <v>1.0</v>
      </c>
      <c r="D17" s="66" t="s">
        <v>205</v>
      </c>
      <c r="E17" s="66" t="s">
        <v>58</v>
      </c>
      <c r="F17" s="66">
        <v>0.8538</v>
      </c>
      <c r="G17" s="66">
        <v>0.539</v>
      </c>
      <c r="H17" s="66" t="s">
        <v>227</v>
      </c>
      <c r="I17" s="81">
        <f t="shared" si="1"/>
        <v>0.5840445269</v>
      </c>
      <c r="J17" s="81">
        <f t="shared" si="2"/>
        <v>0.6312953853</v>
      </c>
    </row>
    <row r="18">
      <c r="A18" s="82">
        <v>44635.0</v>
      </c>
      <c r="B18" s="66">
        <v>2301.0</v>
      </c>
      <c r="C18" s="66">
        <v>1.0</v>
      </c>
      <c r="D18" s="66" t="s">
        <v>205</v>
      </c>
      <c r="E18" s="66" t="s">
        <v>58</v>
      </c>
      <c r="F18" s="66">
        <v>0.9854</v>
      </c>
      <c r="G18" s="66">
        <v>0.622</v>
      </c>
      <c r="H18" s="66" t="s">
        <v>227</v>
      </c>
      <c r="I18" s="81">
        <f t="shared" si="1"/>
        <v>0.584244373</v>
      </c>
      <c r="J18" s="81">
        <f t="shared" si="2"/>
        <v>0.6312157499</v>
      </c>
    </row>
    <row r="19">
      <c r="A19" s="82">
        <v>44635.0</v>
      </c>
      <c r="B19" s="66">
        <v>2331.0</v>
      </c>
      <c r="C19" s="66">
        <v>1.0</v>
      </c>
      <c r="D19" s="66" t="s">
        <v>205</v>
      </c>
      <c r="E19" s="66" t="s">
        <v>58</v>
      </c>
      <c r="F19" s="66">
        <v>2.4192</v>
      </c>
      <c r="G19" s="66">
        <v>1.5249</v>
      </c>
      <c r="I19" s="81">
        <f t="shared" si="1"/>
        <v>0.5864646862</v>
      </c>
      <c r="J19" s="81">
        <f t="shared" si="2"/>
        <v>0.6303323413</v>
      </c>
    </row>
    <row r="20">
      <c r="A20" s="82">
        <v>44635.0</v>
      </c>
      <c r="B20" s="66">
        <v>2345.0</v>
      </c>
      <c r="C20" s="66">
        <v>1.0</v>
      </c>
      <c r="D20" s="66" t="s">
        <v>205</v>
      </c>
      <c r="E20" s="66" t="s">
        <v>58</v>
      </c>
      <c r="F20" s="66">
        <v>1.6048</v>
      </c>
      <c r="G20" s="66">
        <v>1.0087</v>
      </c>
      <c r="I20" s="81">
        <f t="shared" si="1"/>
        <v>0.5909586597</v>
      </c>
      <c r="J20" s="81">
        <f t="shared" si="2"/>
        <v>0.6285518445</v>
      </c>
    </row>
    <row r="21">
      <c r="A21" s="82">
        <v>44635.0</v>
      </c>
      <c r="B21" s="66">
        <v>2352.0</v>
      </c>
      <c r="C21" s="66">
        <v>1.0</v>
      </c>
      <c r="D21" s="66" t="s">
        <v>205</v>
      </c>
      <c r="E21" s="66" t="s">
        <v>58</v>
      </c>
      <c r="F21" s="66">
        <v>0.563</v>
      </c>
      <c r="G21" s="66">
        <v>0.3534</v>
      </c>
      <c r="I21" s="81">
        <f t="shared" si="1"/>
        <v>0.5930956423</v>
      </c>
      <c r="J21" s="81">
        <f t="shared" si="2"/>
        <v>0.6277087034</v>
      </c>
    </row>
    <row r="22">
      <c r="A22" s="82">
        <v>44635.0</v>
      </c>
      <c r="B22" s="66">
        <v>2377.0</v>
      </c>
      <c r="C22" s="66">
        <v>1.0</v>
      </c>
      <c r="D22" s="66" t="s">
        <v>205</v>
      </c>
      <c r="E22" s="66" t="s">
        <v>58</v>
      </c>
      <c r="F22" s="66">
        <v>0.4831</v>
      </c>
      <c r="G22" s="66">
        <v>0.303</v>
      </c>
      <c r="H22" s="66" t="s">
        <v>227</v>
      </c>
      <c r="I22" s="81">
        <f t="shared" si="1"/>
        <v>0.5943894389</v>
      </c>
      <c r="J22" s="81">
        <f t="shared" si="2"/>
        <v>0.6271993376</v>
      </c>
    </row>
    <row r="23">
      <c r="A23" s="82">
        <v>44635.0</v>
      </c>
      <c r="B23" s="66">
        <v>2378.0</v>
      </c>
      <c r="C23" s="66">
        <v>1.0</v>
      </c>
      <c r="D23" s="66" t="s">
        <v>205</v>
      </c>
      <c r="E23" s="66">
        <v>0.0</v>
      </c>
      <c r="F23" s="66">
        <v>0.184</v>
      </c>
      <c r="G23" s="66">
        <v>0.115</v>
      </c>
      <c r="H23" s="66" t="s">
        <v>227</v>
      </c>
      <c r="I23" s="81">
        <f t="shared" si="1"/>
        <v>0.6</v>
      </c>
      <c r="J23" s="81">
        <f t="shared" si="2"/>
        <v>0.625</v>
      </c>
    </row>
    <row r="24">
      <c r="A24" s="82">
        <v>44635.0</v>
      </c>
      <c r="B24" s="66">
        <v>2379.0</v>
      </c>
      <c r="C24" s="66">
        <v>1.0</v>
      </c>
      <c r="D24" s="66" t="s">
        <v>205</v>
      </c>
      <c r="E24" s="66">
        <v>0.0</v>
      </c>
      <c r="F24" s="66">
        <v>1.0574</v>
      </c>
      <c r="G24" s="66">
        <v>0.6598</v>
      </c>
      <c r="I24" s="81">
        <f t="shared" si="1"/>
        <v>0.6026068506</v>
      </c>
      <c r="J24" s="81">
        <f t="shared" si="2"/>
        <v>0.6239833554</v>
      </c>
    </row>
    <row r="25">
      <c r="A25" s="82">
        <v>44635.0</v>
      </c>
      <c r="B25" s="66">
        <v>2380.0</v>
      </c>
      <c r="C25" s="66">
        <v>1.0</v>
      </c>
      <c r="D25" s="66" t="s">
        <v>205</v>
      </c>
      <c r="E25" s="66" t="s">
        <v>58</v>
      </c>
      <c r="F25" s="66">
        <v>2.632</v>
      </c>
      <c r="G25" s="66">
        <v>1.638</v>
      </c>
      <c r="H25" s="66" t="s">
        <v>227</v>
      </c>
      <c r="I25" s="81">
        <f t="shared" si="1"/>
        <v>0.6068376068</v>
      </c>
      <c r="J25" s="81">
        <f t="shared" si="2"/>
        <v>0.6223404255</v>
      </c>
    </row>
    <row r="26">
      <c r="A26" s="82">
        <v>44635.0</v>
      </c>
      <c r="B26" s="66">
        <v>2381.0</v>
      </c>
      <c r="C26" s="66">
        <v>1.0</v>
      </c>
      <c r="D26" s="66" t="s">
        <v>205</v>
      </c>
      <c r="E26" s="66">
        <v>0.0</v>
      </c>
      <c r="F26" s="66">
        <v>1.1483</v>
      </c>
      <c r="G26" s="66">
        <v>0.7144</v>
      </c>
      <c r="H26" s="66" t="s">
        <v>226</v>
      </c>
      <c r="I26" s="81">
        <f t="shared" si="1"/>
        <v>0.6073628219</v>
      </c>
      <c r="J26" s="81">
        <f t="shared" si="2"/>
        <v>0.6221370722</v>
      </c>
    </row>
    <row r="27">
      <c r="A27" s="82">
        <v>44635.0</v>
      </c>
      <c r="B27" s="66">
        <v>2382.0</v>
      </c>
      <c r="C27" s="66">
        <v>1.0</v>
      </c>
      <c r="D27" s="66" t="s">
        <v>205</v>
      </c>
      <c r="E27" s="66">
        <v>0.0</v>
      </c>
      <c r="F27" s="66">
        <v>3.071</v>
      </c>
      <c r="G27" s="66">
        <v>1.91</v>
      </c>
      <c r="H27" s="66" t="s">
        <v>228</v>
      </c>
      <c r="I27" s="81">
        <f t="shared" si="1"/>
        <v>0.6078534031</v>
      </c>
      <c r="J27" s="81">
        <f t="shared" si="2"/>
        <v>0.6219472485</v>
      </c>
    </row>
    <row r="28">
      <c r="A28" s="82">
        <v>44635.0</v>
      </c>
      <c r="B28" s="66">
        <v>2384.0</v>
      </c>
      <c r="C28" s="66">
        <v>1.0</v>
      </c>
      <c r="D28" s="66" t="s">
        <v>205</v>
      </c>
      <c r="E28" s="66">
        <v>0.0</v>
      </c>
      <c r="F28" s="66">
        <v>1.8882</v>
      </c>
      <c r="G28" s="66">
        <v>1.174</v>
      </c>
      <c r="H28" s="66" t="s">
        <v>227</v>
      </c>
      <c r="I28" s="81">
        <f t="shared" si="1"/>
        <v>0.6083475298</v>
      </c>
      <c r="J28" s="81">
        <f t="shared" si="2"/>
        <v>0.6217561699</v>
      </c>
    </row>
    <row r="29">
      <c r="A29" s="82">
        <v>44650.0</v>
      </c>
      <c r="B29" s="66">
        <v>2009.0</v>
      </c>
      <c r="C29" s="66">
        <v>1.0</v>
      </c>
      <c r="D29" s="66" t="s">
        <v>205</v>
      </c>
      <c r="E29" s="66" t="s">
        <v>58</v>
      </c>
      <c r="F29" s="66">
        <v>1.329</v>
      </c>
      <c r="G29" s="66">
        <v>0.826</v>
      </c>
      <c r="H29" s="66" t="s">
        <v>227</v>
      </c>
      <c r="I29" s="81">
        <f t="shared" si="1"/>
        <v>0.6089588378</v>
      </c>
      <c r="J29" s="81">
        <f t="shared" si="2"/>
        <v>0.6215199398</v>
      </c>
    </row>
    <row r="30">
      <c r="A30" s="82">
        <v>44650.0</v>
      </c>
      <c r="B30" s="66">
        <v>2009.0</v>
      </c>
      <c r="C30" s="66">
        <v>1.0</v>
      </c>
      <c r="D30" s="66" t="s">
        <v>204</v>
      </c>
      <c r="E30" s="66">
        <v>0.0</v>
      </c>
      <c r="F30" s="66">
        <v>2.318</v>
      </c>
      <c r="G30" s="66">
        <v>1.438</v>
      </c>
      <c r="H30" s="66" t="s">
        <v>228</v>
      </c>
      <c r="I30" s="81">
        <f t="shared" si="1"/>
        <v>0.611961057</v>
      </c>
      <c r="J30" s="81">
        <f t="shared" si="2"/>
        <v>0.6203623814</v>
      </c>
    </row>
    <row r="31">
      <c r="A31" s="82">
        <v>44650.0</v>
      </c>
      <c r="B31" s="66">
        <v>2009.0</v>
      </c>
      <c r="C31" s="66">
        <v>1.0</v>
      </c>
      <c r="D31" s="66" t="s">
        <v>204</v>
      </c>
      <c r="E31" s="66">
        <v>1.0</v>
      </c>
      <c r="F31" s="66">
        <v>1.1203</v>
      </c>
      <c r="G31" s="66">
        <v>0.693</v>
      </c>
      <c r="I31" s="81">
        <f t="shared" si="1"/>
        <v>0.6165945166</v>
      </c>
      <c r="J31" s="81">
        <f t="shared" si="2"/>
        <v>0.6185843078</v>
      </c>
    </row>
    <row r="32">
      <c r="A32" s="82">
        <v>44650.0</v>
      </c>
      <c r="B32" s="66">
        <v>2009.0</v>
      </c>
      <c r="C32" s="66">
        <v>2.0</v>
      </c>
      <c r="D32" s="66" t="s">
        <v>205</v>
      </c>
      <c r="E32" s="66" t="s">
        <v>58</v>
      </c>
      <c r="F32" s="66">
        <v>0.786</v>
      </c>
      <c r="G32" s="66">
        <v>0.486</v>
      </c>
      <c r="H32" s="66" t="s">
        <v>227</v>
      </c>
      <c r="I32" s="81">
        <f t="shared" si="1"/>
        <v>0.6172839506</v>
      </c>
      <c r="J32" s="81">
        <f t="shared" si="2"/>
        <v>0.6183206107</v>
      </c>
    </row>
    <row r="33">
      <c r="A33" s="82">
        <v>44650.0</v>
      </c>
      <c r="B33" s="66">
        <v>2009.0</v>
      </c>
      <c r="C33" s="66">
        <v>2.0</v>
      </c>
      <c r="D33" s="66" t="s">
        <v>204</v>
      </c>
      <c r="E33" s="66">
        <v>0.0</v>
      </c>
      <c r="F33" s="66">
        <v>2.834</v>
      </c>
      <c r="G33" s="66">
        <v>1.748</v>
      </c>
      <c r="H33" s="66" t="s">
        <v>228</v>
      </c>
      <c r="I33" s="81">
        <f t="shared" si="1"/>
        <v>0.6212814645</v>
      </c>
      <c r="J33" s="81">
        <f t="shared" si="2"/>
        <v>0.616796048</v>
      </c>
    </row>
    <row r="34">
      <c r="A34" s="82">
        <v>44650.0</v>
      </c>
      <c r="B34" s="66">
        <v>2009.0</v>
      </c>
      <c r="C34" s="66">
        <v>2.0</v>
      </c>
      <c r="D34" s="66" t="s">
        <v>204</v>
      </c>
      <c r="E34" s="66">
        <v>1.0</v>
      </c>
      <c r="F34" s="66">
        <v>1.996</v>
      </c>
      <c r="G34" s="66">
        <v>1.23</v>
      </c>
      <c r="H34" s="66" t="s">
        <v>227</v>
      </c>
      <c r="I34" s="81">
        <f t="shared" si="1"/>
        <v>0.6227642276</v>
      </c>
      <c r="J34" s="81">
        <f t="shared" si="2"/>
        <v>0.6162324649</v>
      </c>
    </row>
    <row r="35">
      <c r="A35" s="82">
        <v>44650.0</v>
      </c>
      <c r="B35" s="66">
        <v>2009.0</v>
      </c>
      <c r="C35" s="66">
        <v>3.0</v>
      </c>
      <c r="D35" s="66" t="s">
        <v>205</v>
      </c>
      <c r="E35" s="66" t="s">
        <v>58</v>
      </c>
      <c r="F35" s="66">
        <v>1.5895</v>
      </c>
      <c r="G35" s="66">
        <v>0.979</v>
      </c>
      <c r="H35" s="66" t="s">
        <v>226</v>
      </c>
      <c r="I35" s="81">
        <f t="shared" si="1"/>
        <v>0.6235955056</v>
      </c>
      <c r="J35" s="81">
        <f t="shared" si="2"/>
        <v>0.615916955</v>
      </c>
    </row>
    <row r="36">
      <c r="A36" s="82">
        <v>44650.0</v>
      </c>
      <c r="B36" s="66">
        <v>2009.0</v>
      </c>
      <c r="C36" s="66">
        <v>3.0</v>
      </c>
      <c r="D36" s="66" t="s">
        <v>204</v>
      </c>
      <c r="E36" s="66">
        <v>0.0</v>
      </c>
      <c r="F36" s="66">
        <v>0.7144</v>
      </c>
      <c r="G36" s="66">
        <v>0.439</v>
      </c>
      <c r="H36" s="66" t="s">
        <v>227</v>
      </c>
      <c r="I36" s="81">
        <f t="shared" si="1"/>
        <v>0.6273348519</v>
      </c>
      <c r="J36" s="81">
        <f t="shared" si="2"/>
        <v>0.6145016797</v>
      </c>
    </row>
    <row r="37">
      <c r="A37" s="82">
        <v>44650.0</v>
      </c>
      <c r="B37" s="66">
        <v>2009.0</v>
      </c>
      <c r="C37" s="66">
        <v>3.0</v>
      </c>
      <c r="D37" s="66" t="s">
        <v>204</v>
      </c>
      <c r="E37" s="66">
        <v>1.0</v>
      </c>
      <c r="F37" s="66">
        <v>1.1489</v>
      </c>
      <c r="G37" s="66">
        <v>0.7058</v>
      </c>
      <c r="I37" s="81">
        <f t="shared" si="1"/>
        <v>0.6277982431</v>
      </c>
      <c r="J37" s="81">
        <f t="shared" si="2"/>
        <v>0.6143267473</v>
      </c>
    </row>
    <row r="38">
      <c r="A38" s="82">
        <v>44650.0</v>
      </c>
      <c r="B38" s="66">
        <v>2301.0</v>
      </c>
      <c r="C38" s="66">
        <v>1.0</v>
      </c>
      <c r="D38" s="66" t="s">
        <v>205</v>
      </c>
      <c r="E38" s="66" t="s">
        <v>58</v>
      </c>
      <c r="F38" s="66">
        <v>0.5258</v>
      </c>
      <c r="G38" s="66">
        <v>0.323</v>
      </c>
      <c r="H38" s="66" t="s">
        <v>226</v>
      </c>
      <c r="I38" s="81">
        <f t="shared" si="1"/>
        <v>0.6278637771</v>
      </c>
      <c r="J38" s="81">
        <f t="shared" si="2"/>
        <v>0.614302016</v>
      </c>
    </row>
    <row r="39">
      <c r="A39" s="82">
        <v>44650.0</v>
      </c>
      <c r="B39" s="66">
        <v>2301.0</v>
      </c>
      <c r="C39" s="66">
        <v>1.0</v>
      </c>
      <c r="D39" s="66" t="s">
        <v>204</v>
      </c>
      <c r="E39" s="66" t="s">
        <v>58</v>
      </c>
      <c r="F39" s="66">
        <v>2.2485</v>
      </c>
      <c r="G39" s="66">
        <v>1.378</v>
      </c>
      <c r="I39" s="81">
        <f t="shared" si="1"/>
        <v>0.631712627</v>
      </c>
      <c r="J39" s="81">
        <f t="shared" si="2"/>
        <v>0.6128530131</v>
      </c>
    </row>
    <row r="40">
      <c r="A40" s="82">
        <v>44650.0</v>
      </c>
      <c r="B40" s="66">
        <v>2301.0</v>
      </c>
      <c r="C40" s="66">
        <v>2.0</v>
      </c>
      <c r="D40" s="66" t="s">
        <v>205</v>
      </c>
      <c r="E40" s="66" t="s">
        <v>58</v>
      </c>
      <c r="F40" s="66">
        <v>2.893</v>
      </c>
      <c r="G40" s="66">
        <v>1.769</v>
      </c>
      <c r="H40" s="66" t="s">
        <v>227</v>
      </c>
      <c r="I40" s="81">
        <f t="shared" si="1"/>
        <v>0.6353872244</v>
      </c>
      <c r="J40" s="81">
        <f t="shared" si="2"/>
        <v>0.6114759765</v>
      </c>
    </row>
    <row r="41">
      <c r="A41" s="82">
        <v>44650.0</v>
      </c>
      <c r="B41" s="66">
        <v>2301.0</v>
      </c>
      <c r="C41" s="66">
        <v>2.0</v>
      </c>
      <c r="D41" s="66" t="s">
        <v>204</v>
      </c>
      <c r="E41" s="66" t="s">
        <v>58</v>
      </c>
      <c r="F41" s="66">
        <v>1.9796</v>
      </c>
      <c r="G41" s="66">
        <v>1.2084</v>
      </c>
      <c r="I41" s="81">
        <f t="shared" si="1"/>
        <v>0.6381992718</v>
      </c>
      <c r="J41" s="81">
        <f t="shared" si="2"/>
        <v>0.6104263488</v>
      </c>
    </row>
    <row r="42">
      <c r="A42" s="82">
        <v>44650.0</v>
      </c>
      <c r="B42" s="66">
        <v>2301.0</v>
      </c>
      <c r="C42" s="66">
        <v>3.0</v>
      </c>
      <c r="D42" s="66" t="s">
        <v>205</v>
      </c>
      <c r="E42" s="66" t="s">
        <v>58</v>
      </c>
      <c r="F42" s="66">
        <v>0.6096</v>
      </c>
      <c r="G42" s="66">
        <v>0.372</v>
      </c>
      <c r="I42" s="81">
        <f t="shared" si="1"/>
        <v>0.6387096774</v>
      </c>
      <c r="J42" s="81">
        <f t="shared" si="2"/>
        <v>0.6102362205</v>
      </c>
    </row>
    <row r="43">
      <c r="A43" s="82">
        <v>44650.0</v>
      </c>
      <c r="B43" s="66">
        <v>2301.0</v>
      </c>
      <c r="C43" s="66">
        <v>3.0</v>
      </c>
      <c r="D43" s="66" t="s">
        <v>204</v>
      </c>
      <c r="E43" s="66" t="s">
        <v>58</v>
      </c>
      <c r="F43" s="66">
        <v>0.9841</v>
      </c>
      <c r="G43" s="66">
        <v>0.5995</v>
      </c>
      <c r="I43" s="81">
        <f t="shared" si="1"/>
        <v>0.6415346122</v>
      </c>
      <c r="J43" s="81">
        <f t="shared" si="2"/>
        <v>0.6091860583</v>
      </c>
    </row>
    <row r="44">
      <c r="A44" s="82">
        <v>44650.0</v>
      </c>
      <c r="B44" s="66">
        <v>2331.0</v>
      </c>
      <c r="C44" s="66">
        <v>1.0</v>
      </c>
      <c r="D44" s="66" t="s">
        <v>205</v>
      </c>
      <c r="E44" s="66" t="s">
        <v>58</v>
      </c>
      <c r="F44" s="66">
        <v>0.775</v>
      </c>
      <c r="G44" s="66">
        <v>0.472</v>
      </c>
      <c r="H44" s="66" t="s">
        <v>227</v>
      </c>
      <c r="I44" s="81">
        <f t="shared" si="1"/>
        <v>0.6419491525</v>
      </c>
      <c r="J44" s="81">
        <f t="shared" si="2"/>
        <v>0.6090322581</v>
      </c>
    </row>
    <row r="45">
      <c r="A45" s="82">
        <v>44650.0</v>
      </c>
      <c r="B45" s="66">
        <v>2331.0</v>
      </c>
      <c r="C45" s="66">
        <v>1.0</v>
      </c>
      <c r="D45" s="66" t="s">
        <v>204</v>
      </c>
      <c r="E45" s="66">
        <v>1.0</v>
      </c>
      <c r="F45" s="66">
        <v>1.9995</v>
      </c>
      <c r="G45" s="66">
        <v>1.2164</v>
      </c>
      <c r="I45" s="81">
        <f t="shared" si="1"/>
        <v>0.6437849392</v>
      </c>
      <c r="J45" s="81">
        <f t="shared" si="2"/>
        <v>0.608352088</v>
      </c>
    </row>
    <row r="46">
      <c r="A46" s="82">
        <v>44650.0</v>
      </c>
      <c r="B46" s="66">
        <v>2331.0</v>
      </c>
      <c r="C46" s="66">
        <v>2.0</v>
      </c>
      <c r="D46" s="66" t="s">
        <v>205</v>
      </c>
      <c r="E46" s="66" t="s">
        <v>58</v>
      </c>
      <c r="F46" s="66">
        <v>0.6677</v>
      </c>
      <c r="G46" s="66">
        <v>0.406</v>
      </c>
      <c r="H46" s="66" t="s">
        <v>227</v>
      </c>
      <c r="I46" s="81">
        <f t="shared" si="1"/>
        <v>0.6445812808</v>
      </c>
      <c r="J46" s="81">
        <f t="shared" si="2"/>
        <v>0.6080575109</v>
      </c>
    </row>
    <row r="47">
      <c r="A47" s="82">
        <v>44650.0</v>
      </c>
      <c r="B47" s="66">
        <v>2331.0</v>
      </c>
      <c r="C47" s="66">
        <v>2.0</v>
      </c>
      <c r="D47" s="66" t="s">
        <v>204</v>
      </c>
      <c r="E47" s="66" t="s">
        <v>58</v>
      </c>
      <c r="F47" s="66">
        <v>0.9241</v>
      </c>
      <c r="G47" s="66">
        <v>0.561</v>
      </c>
      <c r="H47" s="66" t="s">
        <v>227</v>
      </c>
      <c r="I47" s="81">
        <f t="shared" si="1"/>
        <v>0.6472370766</v>
      </c>
      <c r="J47" s="81">
        <f t="shared" si="2"/>
        <v>0.6070771562</v>
      </c>
    </row>
    <row r="48">
      <c r="A48" s="82">
        <v>44650.0</v>
      </c>
      <c r="B48" s="66">
        <v>2331.0</v>
      </c>
      <c r="C48" s="66">
        <v>3.0</v>
      </c>
      <c r="D48" s="66" t="s">
        <v>205</v>
      </c>
      <c r="E48" s="66" t="s">
        <v>58</v>
      </c>
      <c r="F48" s="66">
        <v>1.5656</v>
      </c>
      <c r="G48" s="66">
        <v>0.95</v>
      </c>
      <c r="I48" s="81">
        <f t="shared" si="1"/>
        <v>0.648</v>
      </c>
      <c r="J48" s="81">
        <f t="shared" si="2"/>
        <v>0.6067961165</v>
      </c>
    </row>
    <row r="49">
      <c r="A49" s="82">
        <v>44650.0</v>
      </c>
      <c r="B49" s="66">
        <v>2331.0</v>
      </c>
      <c r="C49" s="66">
        <v>3.0</v>
      </c>
      <c r="D49" s="66" t="s">
        <v>204</v>
      </c>
      <c r="E49" s="66" t="s">
        <v>58</v>
      </c>
      <c r="F49" s="66">
        <v>1.685</v>
      </c>
      <c r="G49" s="66">
        <v>1.0218</v>
      </c>
      <c r="H49" s="66" t="s">
        <v>226</v>
      </c>
      <c r="I49" s="81">
        <f t="shared" si="1"/>
        <v>0.6490506949</v>
      </c>
      <c r="J49" s="81">
        <f t="shared" si="2"/>
        <v>0.6064094955</v>
      </c>
    </row>
    <row r="50">
      <c r="A50" s="82">
        <v>44650.0</v>
      </c>
      <c r="B50" s="66">
        <v>2343.0</v>
      </c>
      <c r="C50" s="66">
        <v>1.0</v>
      </c>
      <c r="D50" s="66" t="s">
        <v>205</v>
      </c>
      <c r="E50" s="66" t="s">
        <v>58</v>
      </c>
      <c r="F50" s="66">
        <v>2.6315</v>
      </c>
      <c r="G50" s="66">
        <v>1.5956</v>
      </c>
      <c r="I50" s="81">
        <f t="shared" si="1"/>
        <v>0.6492228629</v>
      </c>
      <c r="J50" s="81">
        <f t="shared" si="2"/>
        <v>0.6063461904</v>
      </c>
    </row>
    <row r="51">
      <c r="A51" s="82">
        <v>44650.0</v>
      </c>
      <c r="B51" s="66">
        <v>2343.0</v>
      </c>
      <c r="C51" s="66">
        <v>1.0</v>
      </c>
      <c r="D51" s="66" t="s">
        <v>204</v>
      </c>
      <c r="E51" s="66">
        <v>0.0</v>
      </c>
      <c r="F51" s="66">
        <v>2.0399</v>
      </c>
      <c r="G51" s="66">
        <v>1.236</v>
      </c>
      <c r="I51" s="81">
        <f t="shared" si="1"/>
        <v>0.6504045307</v>
      </c>
      <c r="J51" s="81">
        <f t="shared" si="2"/>
        <v>0.6059120545</v>
      </c>
    </row>
    <row r="52">
      <c r="A52" s="82">
        <v>44650.0</v>
      </c>
      <c r="B52" s="66">
        <v>2343.0</v>
      </c>
      <c r="C52" s="66">
        <v>1.0</v>
      </c>
      <c r="D52" s="66" t="s">
        <v>204</v>
      </c>
      <c r="E52" s="66">
        <v>1.0</v>
      </c>
      <c r="F52" s="66">
        <v>1.2565</v>
      </c>
      <c r="G52" s="66">
        <v>0.759</v>
      </c>
      <c r="H52" s="66" t="s">
        <v>227</v>
      </c>
      <c r="I52" s="81">
        <f t="shared" si="1"/>
        <v>0.6554677207</v>
      </c>
      <c r="J52" s="81">
        <f t="shared" si="2"/>
        <v>0.6040588938</v>
      </c>
    </row>
    <row r="53">
      <c r="A53" s="82">
        <v>44650.0</v>
      </c>
      <c r="B53" s="66">
        <v>2343.0</v>
      </c>
      <c r="C53" s="66">
        <v>2.0</v>
      </c>
      <c r="D53" s="66" t="s">
        <v>205</v>
      </c>
      <c r="E53" s="66" t="s">
        <v>58</v>
      </c>
      <c r="F53" s="66">
        <v>2.9523</v>
      </c>
      <c r="G53" s="66">
        <v>1.783</v>
      </c>
      <c r="H53" s="66" t="s">
        <v>227</v>
      </c>
      <c r="I53" s="81">
        <f t="shared" si="1"/>
        <v>0.6558048233</v>
      </c>
      <c r="J53" s="81">
        <f t="shared" si="2"/>
        <v>0.6039359144</v>
      </c>
    </row>
    <row r="54">
      <c r="A54" s="82">
        <v>44650.0</v>
      </c>
      <c r="B54" s="66">
        <v>2343.0</v>
      </c>
      <c r="C54" s="66">
        <v>2.0</v>
      </c>
      <c r="D54" s="66" t="s">
        <v>204</v>
      </c>
      <c r="E54" s="66">
        <v>0.0</v>
      </c>
      <c r="F54" s="66">
        <v>0.7444</v>
      </c>
      <c r="G54" s="66">
        <v>0.449</v>
      </c>
      <c r="H54" s="66" t="s">
        <v>227</v>
      </c>
      <c r="I54" s="81">
        <f t="shared" si="1"/>
        <v>0.6579064588</v>
      </c>
      <c r="J54" s="81">
        <f t="shared" si="2"/>
        <v>0.6031703385</v>
      </c>
    </row>
    <row r="55">
      <c r="A55" s="82">
        <v>44650.0</v>
      </c>
      <c r="B55" s="66">
        <v>2343.0</v>
      </c>
      <c r="C55" s="66">
        <v>2.0</v>
      </c>
      <c r="D55" s="66" t="s">
        <v>204</v>
      </c>
      <c r="E55" s="66">
        <v>1.0</v>
      </c>
      <c r="F55" s="66">
        <v>3.336</v>
      </c>
      <c r="G55" s="66">
        <v>2.012</v>
      </c>
      <c r="H55" s="66" t="s">
        <v>228</v>
      </c>
      <c r="I55" s="81">
        <f t="shared" si="1"/>
        <v>0.6580516899</v>
      </c>
      <c r="J55" s="81">
        <f t="shared" si="2"/>
        <v>0.603117506</v>
      </c>
    </row>
    <row r="56">
      <c r="A56" s="82">
        <v>44650.0</v>
      </c>
      <c r="B56" s="66">
        <v>2343.0</v>
      </c>
      <c r="C56" s="66">
        <v>3.0</v>
      </c>
      <c r="D56" s="66" t="s">
        <v>205</v>
      </c>
      <c r="E56" s="66" t="s">
        <v>58</v>
      </c>
      <c r="F56" s="66">
        <v>1.3016</v>
      </c>
      <c r="G56" s="66">
        <v>0.785</v>
      </c>
      <c r="H56" s="66" t="s">
        <v>227</v>
      </c>
      <c r="I56" s="81">
        <f t="shared" si="1"/>
        <v>0.658089172</v>
      </c>
      <c r="J56" s="81">
        <f t="shared" si="2"/>
        <v>0.6031038722</v>
      </c>
    </row>
    <row r="57">
      <c r="A57" s="82">
        <v>44650.0</v>
      </c>
      <c r="B57" s="66">
        <v>2343.0</v>
      </c>
      <c r="C57" s="66">
        <v>3.0</v>
      </c>
      <c r="D57" s="66" t="s">
        <v>204</v>
      </c>
      <c r="E57" s="66">
        <v>0.0</v>
      </c>
      <c r="F57" s="66">
        <v>1.5385</v>
      </c>
      <c r="G57" s="66">
        <v>0.9274</v>
      </c>
      <c r="H57" s="66" t="s">
        <v>227</v>
      </c>
      <c r="I57" s="81">
        <f t="shared" si="1"/>
        <v>0.6589389692</v>
      </c>
      <c r="J57" s="81">
        <f t="shared" si="2"/>
        <v>0.6027949301</v>
      </c>
    </row>
    <row r="58">
      <c r="A58" s="82">
        <v>44650.0</v>
      </c>
      <c r="B58" s="66">
        <v>2343.0</v>
      </c>
      <c r="C58" s="66">
        <v>3.0</v>
      </c>
      <c r="D58" s="66" t="s">
        <v>204</v>
      </c>
      <c r="E58" s="66">
        <v>1.0</v>
      </c>
      <c r="F58" s="66">
        <v>0.3729</v>
      </c>
      <c r="G58" s="66">
        <v>0.2247</v>
      </c>
      <c r="I58" s="81">
        <f t="shared" si="1"/>
        <v>0.6595460614</v>
      </c>
      <c r="J58" s="81">
        <f t="shared" si="2"/>
        <v>0.6025744167</v>
      </c>
    </row>
    <row r="59">
      <c r="A59" s="82">
        <v>44650.0</v>
      </c>
      <c r="B59" s="66">
        <v>2345.0</v>
      </c>
      <c r="C59" s="66">
        <v>1.0</v>
      </c>
      <c r="D59" s="66" t="s">
        <v>205</v>
      </c>
      <c r="E59" s="66" t="s">
        <v>58</v>
      </c>
      <c r="F59" s="66">
        <v>0.7286</v>
      </c>
      <c r="G59" s="66">
        <v>0.439</v>
      </c>
      <c r="H59" s="66" t="s">
        <v>227</v>
      </c>
      <c r="I59" s="81">
        <f t="shared" si="1"/>
        <v>0.6596810934</v>
      </c>
      <c r="J59" s="81">
        <f t="shared" si="2"/>
        <v>0.6025253912</v>
      </c>
    </row>
    <row r="60">
      <c r="A60" s="82">
        <v>44650.0</v>
      </c>
      <c r="B60" s="66">
        <v>2345.0</v>
      </c>
      <c r="C60" s="66">
        <v>1.0</v>
      </c>
      <c r="D60" s="66" t="s">
        <v>204</v>
      </c>
      <c r="E60" s="66" t="s">
        <v>58</v>
      </c>
      <c r="F60" s="66">
        <v>0.9541</v>
      </c>
      <c r="G60" s="66">
        <v>0.5747</v>
      </c>
      <c r="H60" s="66" t="s">
        <v>226</v>
      </c>
      <c r="I60" s="81">
        <f t="shared" si="1"/>
        <v>0.6601705238</v>
      </c>
      <c r="J60" s="81">
        <f t="shared" si="2"/>
        <v>0.6023477623</v>
      </c>
    </row>
    <row r="61">
      <c r="A61" s="82">
        <v>44650.0</v>
      </c>
      <c r="B61" s="66">
        <v>2345.0</v>
      </c>
      <c r="C61" s="66">
        <v>2.0</v>
      </c>
      <c r="D61" s="66" t="s">
        <v>204</v>
      </c>
      <c r="E61" s="66" t="s">
        <v>58</v>
      </c>
      <c r="F61" s="66">
        <v>0.7124</v>
      </c>
      <c r="G61" s="66">
        <v>0.4268</v>
      </c>
      <c r="H61" s="66" t="s">
        <v>226</v>
      </c>
      <c r="I61" s="81">
        <f t="shared" si="1"/>
        <v>0.6691658857</v>
      </c>
      <c r="J61" s="81">
        <f t="shared" si="2"/>
        <v>0.5991016283</v>
      </c>
    </row>
    <row r="62">
      <c r="A62" s="82">
        <v>44650.0</v>
      </c>
      <c r="B62" s="66">
        <v>2345.0</v>
      </c>
      <c r="C62" s="66">
        <v>3.0</v>
      </c>
      <c r="D62" s="66" t="s">
        <v>205</v>
      </c>
      <c r="E62" s="66" t="s">
        <v>58</v>
      </c>
      <c r="F62" s="66">
        <v>1.546</v>
      </c>
      <c r="G62" s="66">
        <v>0.925</v>
      </c>
      <c r="H62" s="66" t="s">
        <v>227</v>
      </c>
      <c r="I62" s="81">
        <f t="shared" si="1"/>
        <v>0.6713513514</v>
      </c>
      <c r="J62" s="81">
        <f t="shared" si="2"/>
        <v>0.5983182406</v>
      </c>
    </row>
    <row r="63">
      <c r="A63" s="82">
        <v>44650.0</v>
      </c>
      <c r="B63" s="66">
        <v>2345.0</v>
      </c>
      <c r="C63" s="66">
        <v>3.0</v>
      </c>
      <c r="D63" s="66" t="s">
        <v>204</v>
      </c>
      <c r="E63" s="66" t="s">
        <v>58</v>
      </c>
      <c r="F63" s="66">
        <v>2.3647</v>
      </c>
      <c r="G63" s="66">
        <v>1.4143</v>
      </c>
      <c r="I63" s="81">
        <f t="shared" si="1"/>
        <v>0.6719932122</v>
      </c>
      <c r="J63" s="81">
        <f t="shared" si="2"/>
        <v>0.5980885525</v>
      </c>
    </row>
    <row r="64">
      <c r="A64" s="82">
        <v>44650.0</v>
      </c>
      <c r="B64" s="66">
        <v>2346.0</v>
      </c>
      <c r="C64" s="66">
        <v>1.0</v>
      </c>
      <c r="D64" s="66" t="s">
        <v>205</v>
      </c>
      <c r="E64" s="66" t="s">
        <v>58</v>
      </c>
      <c r="F64" s="66">
        <v>1.0849</v>
      </c>
      <c r="G64" s="66">
        <v>0.648</v>
      </c>
      <c r="H64" s="66" t="s">
        <v>226</v>
      </c>
      <c r="I64" s="81">
        <f t="shared" si="1"/>
        <v>0.6742283951</v>
      </c>
      <c r="J64" s="81">
        <f t="shared" si="2"/>
        <v>0.5972900728</v>
      </c>
    </row>
    <row r="65">
      <c r="A65" s="82">
        <v>44650.0</v>
      </c>
      <c r="B65" s="66">
        <v>2346.0</v>
      </c>
      <c r="C65" s="66">
        <v>1.0</v>
      </c>
      <c r="D65" s="66" t="s">
        <v>204</v>
      </c>
      <c r="E65" s="66">
        <v>0.0</v>
      </c>
      <c r="F65" s="66">
        <v>1.7053</v>
      </c>
      <c r="G65" s="66">
        <v>1.018</v>
      </c>
      <c r="I65" s="81">
        <f t="shared" si="1"/>
        <v>0.6751473477</v>
      </c>
      <c r="J65" s="81">
        <f t="shared" si="2"/>
        <v>0.5969624113</v>
      </c>
    </row>
    <row r="66">
      <c r="A66" s="82">
        <v>44650.0</v>
      </c>
      <c r="B66" s="66">
        <v>2346.0</v>
      </c>
      <c r="C66" s="66">
        <v>1.0</v>
      </c>
      <c r="D66" s="66" t="s">
        <v>204</v>
      </c>
      <c r="E66" s="66">
        <v>1.0</v>
      </c>
      <c r="F66" s="66">
        <v>0.3237</v>
      </c>
      <c r="G66" s="66">
        <v>0.1932</v>
      </c>
      <c r="I66" s="81">
        <f t="shared" si="1"/>
        <v>0.6754658385</v>
      </c>
      <c r="J66" s="81">
        <f t="shared" si="2"/>
        <v>0.5968489342</v>
      </c>
    </row>
    <row r="67">
      <c r="A67" s="82">
        <v>44650.0</v>
      </c>
      <c r="B67" s="66">
        <v>2346.0</v>
      </c>
      <c r="C67" s="66">
        <v>2.0</v>
      </c>
      <c r="D67" s="66" t="s">
        <v>205</v>
      </c>
      <c r="E67" s="66" t="s">
        <v>58</v>
      </c>
      <c r="F67" s="66">
        <v>1.0138</v>
      </c>
      <c r="G67" s="66">
        <v>0.605</v>
      </c>
      <c r="I67" s="81">
        <f t="shared" si="1"/>
        <v>0.6757024793</v>
      </c>
      <c r="J67" s="81">
        <f t="shared" si="2"/>
        <v>0.5967646479</v>
      </c>
    </row>
    <row r="68">
      <c r="A68" s="82">
        <v>44650.0</v>
      </c>
      <c r="B68" s="66">
        <v>2346.0</v>
      </c>
      <c r="C68" s="66">
        <v>2.0</v>
      </c>
      <c r="D68" s="66" t="s">
        <v>204</v>
      </c>
      <c r="E68" s="66">
        <v>0.0</v>
      </c>
      <c r="F68" s="66">
        <v>1.9312</v>
      </c>
      <c r="G68" s="66">
        <v>1.152</v>
      </c>
      <c r="H68" s="66" t="s">
        <v>227</v>
      </c>
      <c r="I68" s="81">
        <f t="shared" si="1"/>
        <v>0.6763888889</v>
      </c>
      <c r="J68" s="81">
        <f t="shared" si="2"/>
        <v>0.5965202983</v>
      </c>
    </row>
    <row r="69">
      <c r="A69" s="82">
        <v>44650.0</v>
      </c>
      <c r="B69" s="66">
        <v>2346.0</v>
      </c>
      <c r="C69" s="66">
        <v>2.0</v>
      </c>
      <c r="D69" s="66" t="s">
        <v>204</v>
      </c>
      <c r="E69" s="66">
        <v>1.0</v>
      </c>
      <c r="F69" s="66">
        <v>0.4562</v>
      </c>
      <c r="G69" s="66">
        <v>0.272</v>
      </c>
      <c r="I69" s="81">
        <f t="shared" si="1"/>
        <v>0.6772058824</v>
      </c>
      <c r="J69" s="81">
        <f t="shared" si="2"/>
        <v>0.5962297238</v>
      </c>
    </row>
    <row r="70">
      <c r="A70" s="82">
        <v>44650.0</v>
      </c>
      <c r="B70" s="66">
        <v>2346.0</v>
      </c>
      <c r="C70" s="66">
        <v>3.0</v>
      </c>
      <c r="D70" s="66" t="s">
        <v>205</v>
      </c>
      <c r="E70" s="66" t="s">
        <v>58</v>
      </c>
      <c r="F70" s="66">
        <v>0.9864</v>
      </c>
      <c r="G70" s="66">
        <v>0.5879</v>
      </c>
      <c r="I70" s="81">
        <f t="shared" si="1"/>
        <v>0.6778363667</v>
      </c>
      <c r="J70" s="81">
        <f t="shared" si="2"/>
        <v>0.5960056772</v>
      </c>
    </row>
    <row r="71">
      <c r="A71" s="82">
        <v>44650.0</v>
      </c>
      <c r="B71" s="66">
        <v>2346.0</v>
      </c>
      <c r="C71" s="66">
        <v>3.0</v>
      </c>
      <c r="D71" s="66" t="s">
        <v>204</v>
      </c>
      <c r="E71" s="66">
        <v>0.0</v>
      </c>
      <c r="F71" s="66">
        <v>1.3947</v>
      </c>
      <c r="G71" s="66">
        <v>0.831</v>
      </c>
      <c r="H71" s="66" t="s">
        <v>226</v>
      </c>
      <c r="I71" s="81">
        <f t="shared" si="1"/>
        <v>0.6783393502</v>
      </c>
      <c r="J71" s="81">
        <f t="shared" si="2"/>
        <v>0.5958270596</v>
      </c>
    </row>
    <row r="72">
      <c r="A72" s="82">
        <v>44650.0</v>
      </c>
      <c r="B72" s="66">
        <v>2346.0</v>
      </c>
      <c r="C72" s="66">
        <v>3.0</v>
      </c>
      <c r="D72" s="66" t="s">
        <v>204</v>
      </c>
      <c r="E72" s="66">
        <v>1.0</v>
      </c>
      <c r="F72" s="66">
        <v>1.3682</v>
      </c>
      <c r="G72" s="66">
        <v>0.8126</v>
      </c>
      <c r="I72" s="81">
        <f t="shared" si="1"/>
        <v>0.6837312331</v>
      </c>
      <c r="J72" s="81">
        <f t="shared" si="2"/>
        <v>0.5939190177</v>
      </c>
    </row>
    <row r="73">
      <c r="A73" s="82">
        <v>44650.0</v>
      </c>
      <c r="B73" s="66">
        <v>2347.0</v>
      </c>
      <c r="C73" s="66">
        <v>1.0</v>
      </c>
      <c r="D73" s="66" t="s">
        <v>205</v>
      </c>
      <c r="E73" s="66" t="s">
        <v>58</v>
      </c>
      <c r="F73" s="66">
        <v>0.9092</v>
      </c>
      <c r="G73" s="66">
        <v>0.5397</v>
      </c>
      <c r="I73" s="81">
        <f t="shared" si="1"/>
        <v>0.6846396146</v>
      </c>
      <c r="J73" s="81">
        <f t="shared" si="2"/>
        <v>0.5935987681</v>
      </c>
    </row>
    <row r="74">
      <c r="A74" s="82">
        <v>44650.0</v>
      </c>
      <c r="B74" s="66">
        <v>2347.0</v>
      </c>
      <c r="C74" s="66">
        <v>1.0</v>
      </c>
      <c r="D74" s="66" t="s">
        <v>204</v>
      </c>
      <c r="E74" s="66">
        <v>0.0</v>
      </c>
      <c r="F74" s="66">
        <v>2.2443</v>
      </c>
      <c r="G74" s="66">
        <v>1.331</v>
      </c>
      <c r="I74" s="81">
        <f t="shared" si="1"/>
        <v>0.6861758077</v>
      </c>
      <c r="J74" s="81">
        <f t="shared" si="2"/>
        <v>0.5930579691</v>
      </c>
    </row>
    <row r="75">
      <c r="A75" s="82">
        <v>44650.0</v>
      </c>
      <c r="B75" s="66">
        <v>2347.0</v>
      </c>
      <c r="C75" s="66">
        <v>1.0</v>
      </c>
      <c r="D75" s="66" t="s">
        <v>204</v>
      </c>
      <c r="E75" s="66">
        <v>1.0</v>
      </c>
      <c r="F75" s="66">
        <v>1.1028</v>
      </c>
      <c r="G75" s="66">
        <v>0.654</v>
      </c>
      <c r="H75" s="66" t="s">
        <v>227</v>
      </c>
      <c r="I75" s="81">
        <f t="shared" si="1"/>
        <v>0.6862385321</v>
      </c>
      <c r="J75" s="81">
        <f t="shared" si="2"/>
        <v>0.5930359086</v>
      </c>
    </row>
    <row r="76">
      <c r="A76" s="82">
        <v>44650.0</v>
      </c>
      <c r="B76" s="66">
        <v>2347.0</v>
      </c>
      <c r="C76" s="66">
        <v>2.0</v>
      </c>
      <c r="D76" s="66" t="s">
        <v>205</v>
      </c>
      <c r="E76" s="66" t="s">
        <v>58</v>
      </c>
      <c r="F76" s="66">
        <v>1.2912</v>
      </c>
      <c r="G76" s="66">
        <v>0.7638</v>
      </c>
      <c r="I76" s="81">
        <f t="shared" si="1"/>
        <v>0.690494894</v>
      </c>
      <c r="J76" s="81">
        <f t="shared" si="2"/>
        <v>0.5915427509</v>
      </c>
    </row>
    <row r="77">
      <c r="A77" s="82">
        <v>44650.0</v>
      </c>
      <c r="B77" s="66">
        <v>2347.0</v>
      </c>
      <c r="C77" s="66">
        <v>2.0</v>
      </c>
      <c r="D77" s="66" t="s">
        <v>204</v>
      </c>
      <c r="E77" s="66">
        <v>0.0</v>
      </c>
      <c r="F77" s="66">
        <v>2.07</v>
      </c>
      <c r="G77" s="66">
        <v>1.224</v>
      </c>
      <c r="H77" s="66" t="s">
        <v>228</v>
      </c>
      <c r="I77" s="81">
        <f t="shared" si="1"/>
        <v>0.6911764706</v>
      </c>
      <c r="J77" s="81">
        <f t="shared" si="2"/>
        <v>0.5913043478</v>
      </c>
    </row>
    <row r="78">
      <c r="A78" s="82">
        <v>44650.0</v>
      </c>
      <c r="B78" s="66">
        <v>2347.0</v>
      </c>
      <c r="C78" s="66">
        <v>2.0</v>
      </c>
      <c r="D78" s="66" t="s">
        <v>204</v>
      </c>
      <c r="E78" s="66">
        <v>1.0</v>
      </c>
      <c r="F78" s="66">
        <v>0.0501</v>
      </c>
      <c r="G78" s="66">
        <v>0.0296</v>
      </c>
      <c r="I78" s="81">
        <f t="shared" si="1"/>
        <v>0.6925675676</v>
      </c>
      <c r="J78" s="81">
        <f t="shared" si="2"/>
        <v>0.5908183633</v>
      </c>
    </row>
    <row r="79">
      <c r="A79" s="82">
        <v>44650.0</v>
      </c>
      <c r="B79" s="66">
        <v>2347.0</v>
      </c>
      <c r="C79" s="66">
        <v>3.0</v>
      </c>
      <c r="D79" s="66" t="s">
        <v>205</v>
      </c>
      <c r="E79" s="66" t="s">
        <v>58</v>
      </c>
      <c r="F79" s="66">
        <v>2.8019</v>
      </c>
      <c r="G79" s="66">
        <v>1.6554</v>
      </c>
      <c r="H79" s="66" t="s">
        <v>226</v>
      </c>
      <c r="I79" s="81">
        <f t="shared" si="1"/>
        <v>0.6925818533</v>
      </c>
      <c r="J79" s="81">
        <f t="shared" si="2"/>
        <v>0.5908133766</v>
      </c>
    </row>
    <row r="80">
      <c r="A80" s="82">
        <v>44650.0</v>
      </c>
      <c r="B80" s="66">
        <v>2347.0</v>
      </c>
      <c r="C80" s="66">
        <v>3.0</v>
      </c>
      <c r="D80" s="66" t="s">
        <v>204</v>
      </c>
      <c r="E80" s="66">
        <v>0.0</v>
      </c>
      <c r="F80" s="66">
        <v>1.6544</v>
      </c>
      <c r="G80" s="66">
        <v>0.977</v>
      </c>
      <c r="I80" s="81">
        <f t="shared" si="1"/>
        <v>0.6933469806</v>
      </c>
      <c r="J80" s="81">
        <f t="shared" si="2"/>
        <v>0.5905464217</v>
      </c>
    </row>
    <row r="81">
      <c r="A81" s="82">
        <v>44650.0</v>
      </c>
      <c r="B81" s="66">
        <v>2347.0</v>
      </c>
      <c r="C81" s="66">
        <v>3.0</v>
      </c>
      <c r="D81" s="66" t="s">
        <v>204</v>
      </c>
      <c r="E81" s="66">
        <v>1.0</v>
      </c>
      <c r="F81" s="66">
        <v>1.263</v>
      </c>
      <c r="G81" s="66">
        <v>0.7456</v>
      </c>
      <c r="H81" s="66" t="s">
        <v>226</v>
      </c>
      <c r="I81" s="81">
        <f t="shared" si="1"/>
        <v>0.6939377682</v>
      </c>
      <c r="J81" s="81">
        <f t="shared" si="2"/>
        <v>0.5903404592</v>
      </c>
    </row>
    <row r="82">
      <c r="A82" s="82">
        <v>44650.0</v>
      </c>
      <c r="B82" s="66">
        <v>2352.0</v>
      </c>
      <c r="C82" s="66">
        <v>1.0</v>
      </c>
      <c r="D82" s="66" t="s">
        <v>205</v>
      </c>
      <c r="E82" s="66" t="s">
        <v>58</v>
      </c>
      <c r="F82" s="66">
        <v>1.0381</v>
      </c>
      <c r="G82" s="66">
        <v>0.6125</v>
      </c>
      <c r="I82" s="81">
        <f t="shared" si="1"/>
        <v>0.6948571429</v>
      </c>
      <c r="J82" s="81">
        <f t="shared" si="2"/>
        <v>0.5900202293</v>
      </c>
    </row>
    <row r="83">
      <c r="A83" s="82">
        <v>44650.0</v>
      </c>
      <c r="B83" s="66">
        <v>2352.0</v>
      </c>
      <c r="C83" s="66">
        <v>1.0</v>
      </c>
      <c r="D83" s="66" t="s">
        <v>204</v>
      </c>
      <c r="E83" s="66" t="s">
        <v>58</v>
      </c>
      <c r="F83" s="66">
        <v>5.437</v>
      </c>
      <c r="G83" s="66">
        <v>3.206</v>
      </c>
      <c r="H83" s="66" t="s">
        <v>228</v>
      </c>
      <c r="I83" s="81">
        <f t="shared" si="1"/>
        <v>0.6958827199</v>
      </c>
      <c r="J83" s="81">
        <f t="shared" si="2"/>
        <v>0.5896634173</v>
      </c>
    </row>
    <row r="84">
      <c r="A84" s="82">
        <v>44650.0</v>
      </c>
      <c r="B84" s="66">
        <v>2352.0</v>
      </c>
      <c r="C84" s="66">
        <v>2.0</v>
      </c>
      <c r="D84" s="66" t="s">
        <v>205</v>
      </c>
      <c r="E84" s="66" t="s">
        <v>58</v>
      </c>
      <c r="F84" s="66">
        <v>0.636</v>
      </c>
      <c r="G84" s="66">
        <v>0.375</v>
      </c>
      <c r="H84" s="66" t="s">
        <v>227</v>
      </c>
      <c r="I84" s="81">
        <f t="shared" si="1"/>
        <v>0.696</v>
      </c>
      <c r="J84" s="81">
        <f t="shared" si="2"/>
        <v>0.5896226415</v>
      </c>
    </row>
    <row r="85">
      <c r="A85" s="82">
        <v>44650.0</v>
      </c>
      <c r="B85" s="66">
        <v>2352.0</v>
      </c>
      <c r="C85" s="66">
        <v>2.0</v>
      </c>
      <c r="D85" s="66" t="s">
        <v>204</v>
      </c>
      <c r="E85" s="66" t="s">
        <v>58</v>
      </c>
      <c r="F85" s="66">
        <v>0.6106</v>
      </c>
      <c r="G85" s="66">
        <v>0.36</v>
      </c>
      <c r="I85" s="81">
        <f t="shared" si="1"/>
        <v>0.6961111111</v>
      </c>
      <c r="J85" s="81">
        <f t="shared" si="2"/>
        <v>0.5895840157</v>
      </c>
    </row>
    <row r="86">
      <c r="A86" s="82">
        <v>44650.0</v>
      </c>
      <c r="B86" s="66">
        <v>2352.0</v>
      </c>
      <c r="C86" s="66">
        <v>3.0</v>
      </c>
      <c r="D86" s="66" t="s">
        <v>205</v>
      </c>
      <c r="E86" s="66" t="s">
        <v>58</v>
      </c>
      <c r="F86" s="66">
        <v>0.1904</v>
      </c>
      <c r="G86" s="66">
        <v>0.1122</v>
      </c>
      <c r="I86" s="81">
        <f t="shared" si="1"/>
        <v>0.696969697</v>
      </c>
      <c r="J86" s="81">
        <f t="shared" si="2"/>
        <v>0.5892857143</v>
      </c>
    </row>
    <row r="87">
      <c r="A87" s="82">
        <v>44650.0</v>
      </c>
      <c r="B87" s="66">
        <v>2352.0</v>
      </c>
      <c r="C87" s="66">
        <v>3.0</v>
      </c>
      <c r="D87" s="66" t="s">
        <v>204</v>
      </c>
      <c r="E87" s="66" t="s">
        <v>58</v>
      </c>
      <c r="F87" s="66">
        <v>3.408</v>
      </c>
      <c r="G87" s="66">
        <v>2.008</v>
      </c>
      <c r="H87" s="66" t="s">
        <v>228</v>
      </c>
      <c r="I87" s="81">
        <f t="shared" si="1"/>
        <v>0.6972111554</v>
      </c>
      <c r="J87" s="81">
        <f t="shared" si="2"/>
        <v>0.5892018779</v>
      </c>
    </row>
    <row r="88">
      <c r="A88" s="82">
        <v>44650.0</v>
      </c>
      <c r="B88" s="66">
        <v>2354.0</v>
      </c>
      <c r="C88" s="66">
        <v>1.0</v>
      </c>
      <c r="D88" s="66" t="s">
        <v>205</v>
      </c>
      <c r="E88" s="66" t="s">
        <v>58</v>
      </c>
      <c r="F88" s="66">
        <v>1.5818</v>
      </c>
      <c r="G88" s="66">
        <v>0.931</v>
      </c>
      <c r="I88" s="81">
        <f t="shared" si="1"/>
        <v>0.6990332975</v>
      </c>
      <c r="J88" s="81">
        <f t="shared" si="2"/>
        <v>0.5885699836</v>
      </c>
    </row>
    <row r="89">
      <c r="A89" s="82">
        <v>44650.0</v>
      </c>
      <c r="B89" s="66">
        <v>2354.0</v>
      </c>
      <c r="C89" s="66">
        <v>1.0</v>
      </c>
      <c r="D89" s="66" t="s">
        <v>204</v>
      </c>
      <c r="E89" s="66" t="s">
        <v>58</v>
      </c>
      <c r="F89" s="66">
        <v>2.956</v>
      </c>
      <c r="G89" s="66">
        <v>1.739</v>
      </c>
      <c r="I89" s="81">
        <f t="shared" si="1"/>
        <v>0.6998274871</v>
      </c>
      <c r="J89" s="81">
        <f t="shared" si="2"/>
        <v>0.5882949932</v>
      </c>
    </row>
    <row r="90">
      <c r="A90" s="82">
        <v>44650.0</v>
      </c>
      <c r="B90" s="66">
        <v>2354.0</v>
      </c>
      <c r="C90" s="66">
        <v>2.0</v>
      </c>
      <c r="D90" s="66" t="s">
        <v>205</v>
      </c>
      <c r="E90" s="66" t="s">
        <v>58</v>
      </c>
      <c r="F90" s="66">
        <v>1.5339</v>
      </c>
      <c r="G90" s="66">
        <v>0.902</v>
      </c>
      <c r="H90" s="66" t="s">
        <v>226</v>
      </c>
      <c r="I90" s="81">
        <f t="shared" si="1"/>
        <v>0.7005543237</v>
      </c>
      <c r="J90" s="81">
        <f t="shared" si="2"/>
        <v>0.5880435491</v>
      </c>
    </row>
    <row r="91">
      <c r="A91" s="82">
        <v>44650.0</v>
      </c>
      <c r="B91" s="66">
        <v>2354.0</v>
      </c>
      <c r="C91" s="66">
        <v>2.0</v>
      </c>
      <c r="D91" s="66" t="s">
        <v>204</v>
      </c>
      <c r="E91" s="66">
        <v>0.0</v>
      </c>
      <c r="F91" s="66">
        <v>1.9358</v>
      </c>
      <c r="G91" s="66">
        <v>1.1383</v>
      </c>
      <c r="I91" s="81">
        <f t="shared" si="1"/>
        <v>0.7006061671</v>
      </c>
      <c r="J91" s="81">
        <f t="shared" si="2"/>
        <v>0.5880256225</v>
      </c>
    </row>
    <row r="92">
      <c r="A92" s="82">
        <v>44650.0</v>
      </c>
      <c r="B92" s="66">
        <v>2354.0</v>
      </c>
      <c r="C92" s="66">
        <v>2.0</v>
      </c>
      <c r="D92" s="66" t="s">
        <v>204</v>
      </c>
      <c r="E92" s="66">
        <v>1.0</v>
      </c>
      <c r="F92" s="66">
        <v>1.4443</v>
      </c>
      <c r="G92" s="66">
        <v>0.8472</v>
      </c>
      <c r="H92" s="66" t="s">
        <v>226</v>
      </c>
      <c r="I92" s="81">
        <f t="shared" si="1"/>
        <v>0.7047922568</v>
      </c>
      <c r="J92" s="81">
        <f t="shared" si="2"/>
        <v>0.5865817351</v>
      </c>
    </row>
    <row r="93">
      <c r="A93" s="82">
        <v>44650.0</v>
      </c>
      <c r="B93" s="66">
        <v>2354.0</v>
      </c>
      <c r="C93" s="66">
        <v>3.0</v>
      </c>
      <c r="D93" s="66" t="s">
        <v>205</v>
      </c>
      <c r="E93" s="66" t="s">
        <v>58</v>
      </c>
      <c r="F93" s="66">
        <v>0.6412</v>
      </c>
      <c r="G93" s="66">
        <v>0.376</v>
      </c>
      <c r="I93" s="81">
        <f t="shared" si="1"/>
        <v>0.7053191489</v>
      </c>
      <c r="J93" s="81">
        <f t="shared" si="2"/>
        <v>0.5864004991</v>
      </c>
    </row>
    <row r="94">
      <c r="A94" s="82">
        <v>44650.0</v>
      </c>
      <c r="B94" s="66">
        <v>2354.0</v>
      </c>
      <c r="C94" s="66">
        <v>3.0</v>
      </c>
      <c r="D94" s="66" t="s">
        <v>204</v>
      </c>
      <c r="E94" s="66" t="s">
        <v>58</v>
      </c>
      <c r="F94" s="66">
        <v>0.0999</v>
      </c>
      <c r="G94" s="66">
        <v>0.0585</v>
      </c>
      <c r="I94" s="81">
        <f t="shared" si="1"/>
        <v>0.7076923077</v>
      </c>
      <c r="J94" s="81">
        <f t="shared" si="2"/>
        <v>0.5855855856</v>
      </c>
    </row>
    <row r="95">
      <c r="A95" s="82">
        <v>44650.0</v>
      </c>
      <c r="B95" s="66">
        <v>2360.0</v>
      </c>
      <c r="C95" s="66">
        <v>1.0</v>
      </c>
      <c r="D95" s="66" t="s">
        <v>205</v>
      </c>
      <c r="E95" s="66" t="s">
        <v>58</v>
      </c>
      <c r="F95" s="66">
        <v>2.9236</v>
      </c>
      <c r="G95" s="66">
        <v>1.712</v>
      </c>
      <c r="H95" s="66" t="s">
        <v>226</v>
      </c>
      <c r="I95" s="81">
        <f t="shared" si="1"/>
        <v>0.7077102804</v>
      </c>
      <c r="J95" s="81">
        <f t="shared" si="2"/>
        <v>0.5855794226</v>
      </c>
    </row>
    <row r="96">
      <c r="A96" s="82">
        <v>44650.0</v>
      </c>
      <c r="B96" s="66">
        <v>2360.0</v>
      </c>
      <c r="C96" s="66">
        <v>1.0</v>
      </c>
      <c r="D96" s="66" t="s">
        <v>204</v>
      </c>
      <c r="E96" s="66">
        <v>1.0</v>
      </c>
      <c r="F96" s="66">
        <v>1.218</v>
      </c>
      <c r="G96" s="66">
        <v>0.713</v>
      </c>
      <c r="H96" s="66" t="s">
        <v>227</v>
      </c>
      <c r="I96" s="81">
        <f t="shared" si="1"/>
        <v>0.7082748948</v>
      </c>
      <c r="J96" s="81">
        <f t="shared" si="2"/>
        <v>0.5853858785</v>
      </c>
    </row>
    <row r="97">
      <c r="A97" s="82">
        <v>44650.0</v>
      </c>
      <c r="B97" s="66">
        <v>2360.0</v>
      </c>
      <c r="C97" s="66">
        <v>2.0</v>
      </c>
      <c r="D97" s="66" t="s">
        <v>205</v>
      </c>
      <c r="E97" s="66" t="s">
        <v>58</v>
      </c>
      <c r="F97" s="66">
        <v>0.6495</v>
      </c>
      <c r="G97" s="66">
        <v>0.38</v>
      </c>
      <c r="I97" s="81">
        <f t="shared" si="1"/>
        <v>0.7092105263</v>
      </c>
      <c r="J97" s="81">
        <f t="shared" si="2"/>
        <v>0.5850654349</v>
      </c>
    </row>
    <row r="98">
      <c r="A98" s="82">
        <v>44650.0</v>
      </c>
      <c r="B98" s="66">
        <v>2360.0</v>
      </c>
      <c r="C98" s="66">
        <v>2.0</v>
      </c>
      <c r="D98" s="66" t="s">
        <v>204</v>
      </c>
      <c r="E98" s="66">
        <v>0.0</v>
      </c>
      <c r="F98" s="66">
        <v>1.5782</v>
      </c>
      <c r="G98" s="66">
        <v>0.9233</v>
      </c>
      <c r="I98" s="81">
        <f t="shared" si="1"/>
        <v>0.709303585</v>
      </c>
      <c r="J98" s="81">
        <f t="shared" si="2"/>
        <v>0.5850335826</v>
      </c>
    </row>
    <row r="99">
      <c r="A99" s="82">
        <v>44650.0</v>
      </c>
      <c r="B99" s="66">
        <v>2360.0</v>
      </c>
      <c r="C99" s="66">
        <v>2.0</v>
      </c>
      <c r="D99" s="66" t="s">
        <v>204</v>
      </c>
      <c r="E99" s="66">
        <v>1.0</v>
      </c>
      <c r="F99" s="66">
        <v>0.4619</v>
      </c>
      <c r="G99" s="66">
        <v>0.27</v>
      </c>
      <c r="H99" s="66" t="s">
        <v>226</v>
      </c>
      <c r="I99" s="81">
        <f t="shared" si="1"/>
        <v>0.7107407407</v>
      </c>
      <c r="J99" s="81">
        <f t="shared" si="2"/>
        <v>0.5845421087</v>
      </c>
    </row>
    <row r="100">
      <c r="A100" s="82">
        <v>44650.0</v>
      </c>
      <c r="B100" s="66">
        <v>2360.0</v>
      </c>
      <c r="C100" s="66">
        <v>3.0</v>
      </c>
      <c r="D100" s="66" t="s">
        <v>205</v>
      </c>
      <c r="E100" s="66" t="s">
        <v>58</v>
      </c>
      <c r="F100" s="66">
        <v>0.1001</v>
      </c>
      <c r="G100" s="66">
        <v>0.0585</v>
      </c>
      <c r="H100" s="66" t="s">
        <v>227</v>
      </c>
      <c r="I100" s="81">
        <f t="shared" si="1"/>
        <v>0.7111111111</v>
      </c>
      <c r="J100" s="81">
        <f t="shared" si="2"/>
        <v>0.5844155844</v>
      </c>
    </row>
    <row r="101">
      <c r="A101" s="82">
        <v>44650.0</v>
      </c>
      <c r="B101" s="66">
        <v>2360.0</v>
      </c>
      <c r="C101" s="66">
        <v>3.0</v>
      </c>
      <c r="D101" s="66" t="s">
        <v>204</v>
      </c>
      <c r="E101" s="66">
        <v>0.0</v>
      </c>
      <c r="F101" s="66">
        <v>2.6446</v>
      </c>
      <c r="G101" s="66">
        <v>1.545</v>
      </c>
      <c r="H101" s="66" t="s">
        <v>226</v>
      </c>
      <c r="I101" s="81">
        <f t="shared" si="1"/>
        <v>0.7117152104</v>
      </c>
      <c r="J101" s="81">
        <f t="shared" si="2"/>
        <v>0.5842093322</v>
      </c>
    </row>
    <row r="102">
      <c r="A102" s="82">
        <v>44650.0</v>
      </c>
      <c r="B102" s="66">
        <v>2360.0</v>
      </c>
      <c r="C102" s="66">
        <v>3.0</v>
      </c>
      <c r="D102" s="66" t="s">
        <v>204</v>
      </c>
      <c r="E102" s="66">
        <v>1.0</v>
      </c>
      <c r="F102" s="66">
        <v>1.6757</v>
      </c>
      <c r="G102" s="66">
        <v>0.9784</v>
      </c>
      <c r="I102" s="81">
        <f t="shared" si="1"/>
        <v>0.7126941946</v>
      </c>
      <c r="J102" s="81">
        <f t="shared" si="2"/>
        <v>0.5838753954</v>
      </c>
    </row>
    <row r="103">
      <c r="A103" s="82">
        <v>44650.0</v>
      </c>
      <c r="B103" s="66">
        <v>2361.0</v>
      </c>
      <c r="C103" s="66">
        <v>1.0</v>
      </c>
      <c r="D103" s="66" t="s">
        <v>204</v>
      </c>
      <c r="E103" s="66">
        <v>0.0</v>
      </c>
      <c r="F103" s="66">
        <v>0.6154</v>
      </c>
      <c r="G103" s="66">
        <v>0.359</v>
      </c>
      <c r="H103" s="66" t="s">
        <v>226</v>
      </c>
      <c r="I103" s="81">
        <f t="shared" si="1"/>
        <v>0.7142061281</v>
      </c>
      <c r="J103" s="81">
        <f t="shared" si="2"/>
        <v>0.583360416</v>
      </c>
    </row>
    <row r="104">
      <c r="A104" s="82">
        <v>44650.0</v>
      </c>
      <c r="B104" s="66">
        <v>2364.0</v>
      </c>
      <c r="C104" s="66">
        <v>1.0</v>
      </c>
      <c r="D104" s="66" t="s">
        <v>205</v>
      </c>
      <c r="E104" s="66" t="s">
        <v>58</v>
      </c>
      <c r="F104" s="66">
        <v>0.7558</v>
      </c>
      <c r="G104" s="66">
        <v>0.44</v>
      </c>
      <c r="I104" s="81">
        <f t="shared" si="1"/>
        <v>0.7177272727</v>
      </c>
      <c r="J104" s="81">
        <f t="shared" si="2"/>
        <v>0.5821645938</v>
      </c>
    </row>
    <row r="105">
      <c r="A105" s="82">
        <v>44650.0</v>
      </c>
      <c r="B105" s="66">
        <v>2364.0</v>
      </c>
      <c r="C105" s="66">
        <v>1.0</v>
      </c>
      <c r="D105" s="66" t="s">
        <v>204</v>
      </c>
      <c r="E105" s="66">
        <v>0.0</v>
      </c>
      <c r="F105" s="66">
        <v>1.3279</v>
      </c>
      <c r="G105" s="66">
        <v>0.773</v>
      </c>
      <c r="H105" s="66" t="s">
        <v>227</v>
      </c>
      <c r="I105" s="81">
        <f t="shared" si="1"/>
        <v>0.7178525226</v>
      </c>
      <c r="J105" s="81">
        <f t="shared" si="2"/>
        <v>0.5821221478</v>
      </c>
    </row>
    <row r="106">
      <c r="A106" s="82">
        <v>44650.0</v>
      </c>
      <c r="B106" s="66">
        <v>2364.0</v>
      </c>
      <c r="C106" s="66">
        <v>1.0</v>
      </c>
      <c r="D106" s="66" t="s">
        <v>204</v>
      </c>
      <c r="E106" s="66">
        <v>1.0</v>
      </c>
      <c r="F106" s="66">
        <v>0.942</v>
      </c>
      <c r="G106" s="66">
        <v>0.548</v>
      </c>
      <c r="H106" s="66" t="s">
        <v>229</v>
      </c>
      <c r="I106" s="81">
        <f t="shared" si="1"/>
        <v>0.7189781022</v>
      </c>
      <c r="J106" s="81">
        <f t="shared" si="2"/>
        <v>0.5817409766</v>
      </c>
    </row>
    <row r="107">
      <c r="A107" s="82">
        <v>44650.0</v>
      </c>
      <c r="B107" s="66">
        <v>2364.0</v>
      </c>
      <c r="C107" s="66">
        <v>2.0</v>
      </c>
      <c r="D107" s="66" t="s">
        <v>205</v>
      </c>
      <c r="E107" s="66" t="s">
        <v>58</v>
      </c>
      <c r="F107" s="66">
        <v>0.1703</v>
      </c>
      <c r="G107" s="66">
        <v>0.099</v>
      </c>
      <c r="H107" s="66" t="s">
        <v>227</v>
      </c>
      <c r="I107" s="81">
        <f t="shared" si="1"/>
        <v>0.7202020202</v>
      </c>
      <c r="J107" s="81">
        <f t="shared" si="2"/>
        <v>0.5813270699</v>
      </c>
    </row>
    <row r="108">
      <c r="A108" s="82">
        <v>44650.0</v>
      </c>
      <c r="B108" s="66">
        <v>2364.0</v>
      </c>
      <c r="C108" s="66">
        <v>2.0</v>
      </c>
      <c r="D108" s="66" t="s">
        <v>204</v>
      </c>
      <c r="E108" s="66">
        <v>0.0</v>
      </c>
      <c r="F108" s="66">
        <v>0.6756</v>
      </c>
      <c r="G108" s="66">
        <v>0.392</v>
      </c>
      <c r="H108" s="66" t="s">
        <v>226</v>
      </c>
      <c r="I108" s="81">
        <f t="shared" si="1"/>
        <v>0.7234693878</v>
      </c>
      <c r="J108" s="81">
        <f t="shared" si="2"/>
        <v>0.5802249852</v>
      </c>
    </row>
    <row r="109">
      <c r="A109" s="82">
        <v>44650.0</v>
      </c>
      <c r="B109" s="66">
        <v>2364.0</v>
      </c>
      <c r="C109" s="66">
        <v>2.0</v>
      </c>
      <c r="D109" s="66" t="s">
        <v>204</v>
      </c>
      <c r="E109" s="66">
        <v>1.0</v>
      </c>
      <c r="F109" s="66">
        <v>1.0044</v>
      </c>
      <c r="G109" s="66">
        <v>0.5822</v>
      </c>
      <c r="H109" s="66" t="s">
        <v>226</v>
      </c>
      <c r="I109" s="81">
        <f t="shared" si="1"/>
        <v>0.7251803504</v>
      </c>
      <c r="J109" s="81">
        <f t="shared" si="2"/>
        <v>0.579649542</v>
      </c>
    </row>
    <row r="110">
      <c r="A110" s="82">
        <v>44650.0</v>
      </c>
      <c r="B110" s="66">
        <v>2364.0</v>
      </c>
      <c r="C110" s="66">
        <v>3.0</v>
      </c>
      <c r="D110" s="66" t="s">
        <v>205</v>
      </c>
      <c r="E110" s="66" t="s">
        <v>58</v>
      </c>
      <c r="F110" s="66">
        <v>0.7421</v>
      </c>
      <c r="G110" s="66">
        <v>0.43</v>
      </c>
      <c r="H110" s="66" t="s">
        <v>226</v>
      </c>
      <c r="I110" s="81">
        <f t="shared" si="1"/>
        <v>0.7258139535</v>
      </c>
      <c r="J110" s="81">
        <f t="shared" si="2"/>
        <v>0.5794367336</v>
      </c>
    </row>
    <row r="111">
      <c r="A111" s="82">
        <v>44650.0</v>
      </c>
      <c r="B111" s="66">
        <v>2364.0</v>
      </c>
      <c r="C111" s="66">
        <v>3.0</v>
      </c>
      <c r="D111" s="66" t="s">
        <v>204</v>
      </c>
      <c r="E111" s="66">
        <v>0.0</v>
      </c>
      <c r="F111" s="66">
        <v>0.4022</v>
      </c>
      <c r="G111" s="66">
        <v>0.233</v>
      </c>
      <c r="I111" s="81">
        <f t="shared" si="1"/>
        <v>0.7261802575</v>
      </c>
      <c r="J111" s="81">
        <f t="shared" si="2"/>
        <v>0.5793137742</v>
      </c>
    </row>
    <row r="112">
      <c r="A112" s="82">
        <v>44650.0</v>
      </c>
      <c r="B112" s="66">
        <v>2364.0</v>
      </c>
      <c r="C112" s="66">
        <v>3.0</v>
      </c>
      <c r="D112" s="66" t="s">
        <v>204</v>
      </c>
      <c r="E112" s="66">
        <v>1.0</v>
      </c>
      <c r="F112" s="66">
        <v>2.6938</v>
      </c>
      <c r="G112" s="66">
        <v>1.56</v>
      </c>
      <c r="H112" s="66" t="s">
        <v>226</v>
      </c>
      <c r="I112" s="81">
        <f t="shared" si="1"/>
        <v>0.7267948718</v>
      </c>
      <c r="J112" s="81">
        <f t="shared" si="2"/>
        <v>0.5791075804</v>
      </c>
    </row>
    <row r="113">
      <c r="A113" s="82">
        <v>44650.0</v>
      </c>
      <c r="B113" s="66">
        <v>2367.0</v>
      </c>
      <c r="C113" s="66">
        <v>1.0</v>
      </c>
      <c r="D113" s="66" t="s">
        <v>205</v>
      </c>
      <c r="E113" s="66" t="s">
        <v>58</v>
      </c>
      <c r="F113" s="66">
        <v>3.3447</v>
      </c>
      <c r="G113" s="66">
        <v>1.933</v>
      </c>
      <c r="H113" s="66" t="s">
        <v>226</v>
      </c>
      <c r="I113" s="81">
        <f t="shared" si="1"/>
        <v>0.7303155717</v>
      </c>
      <c r="J113" s="81">
        <f t="shared" si="2"/>
        <v>0.5779292612</v>
      </c>
    </row>
    <row r="114">
      <c r="A114" s="82">
        <v>44650.0</v>
      </c>
      <c r="B114" s="66">
        <v>2367.0</v>
      </c>
      <c r="C114" s="66">
        <v>1.0</v>
      </c>
      <c r="D114" s="66" t="s">
        <v>205</v>
      </c>
      <c r="E114" s="66" t="s">
        <v>58</v>
      </c>
      <c r="F114" s="66">
        <v>1.2822</v>
      </c>
      <c r="G114" s="66">
        <v>0.741</v>
      </c>
      <c r="I114" s="81">
        <f t="shared" si="1"/>
        <v>0.7303643725</v>
      </c>
      <c r="J114" s="81">
        <f t="shared" si="2"/>
        <v>0.5779129621</v>
      </c>
    </row>
    <row r="115">
      <c r="A115" s="82">
        <v>44650.0</v>
      </c>
      <c r="B115" s="66">
        <v>2367.0</v>
      </c>
      <c r="C115" s="66">
        <v>1.0</v>
      </c>
      <c r="D115" s="66" t="s">
        <v>204</v>
      </c>
      <c r="E115" s="66">
        <v>0.0</v>
      </c>
      <c r="F115" s="66">
        <v>0.471</v>
      </c>
      <c r="G115" s="66">
        <v>0.272</v>
      </c>
      <c r="H115" s="66" t="s">
        <v>229</v>
      </c>
      <c r="I115" s="81">
        <f t="shared" si="1"/>
        <v>0.7316176471</v>
      </c>
      <c r="J115" s="81">
        <f t="shared" si="2"/>
        <v>0.5774946921</v>
      </c>
    </row>
    <row r="116">
      <c r="A116" s="82">
        <v>44650.0</v>
      </c>
      <c r="B116" s="66">
        <v>2367.0</v>
      </c>
      <c r="C116" s="66">
        <v>1.0</v>
      </c>
      <c r="D116" s="66" t="s">
        <v>204</v>
      </c>
      <c r="E116" s="66">
        <v>0.0</v>
      </c>
      <c r="F116" s="66">
        <v>2.032</v>
      </c>
      <c r="G116" s="66">
        <v>1.173</v>
      </c>
      <c r="H116" s="66" t="s">
        <v>228</v>
      </c>
      <c r="I116" s="81">
        <f t="shared" si="1"/>
        <v>0.7323103154</v>
      </c>
      <c r="J116" s="81">
        <f t="shared" si="2"/>
        <v>0.5772637795</v>
      </c>
    </row>
    <row r="117">
      <c r="A117" s="82">
        <v>44650.0</v>
      </c>
      <c r="B117" s="66">
        <v>2367.0</v>
      </c>
      <c r="C117" s="66">
        <v>1.0</v>
      </c>
      <c r="D117" s="66" t="s">
        <v>204</v>
      </c>
      <c r="E117" s="66">
        <v>1.0</v>
      </c>
      <c r="F117" s="66">
        <v>0.2568</v>
      </c>
      <c r="G117" s="66">
        <v>0.1482</v>
      </c>
      <c r="I117" s="81">
        <f t="shared" si="1"/>
        <v>0.7327935223</v>
      </c>
      <c r="J117" s="81">
        <f t="shared" si="2"/>
        <v>0.5771028037</v>
      </c>
    </row>
    <row r="118">
      <c r="A118" s="82">
        <v>44650.0</v>
      </c>
      <c r="B118" s="66">
        <v>2367.0</v>
      </c>
      <c r="C118" s="66">
        <v>1.0</v>
      </c>
      <c r="D118" s="66" t="s">
        <v>204</v>
      </c>
      <c r="E118" s="66">
        <v>1.0</v>
      </c>
      <c r="F118" s="66">
        <v>0.981</v>
      </c>
      <c r="G118" s="66">
        <v>0.5657</v>
      </c>
      <c r="I118" s="81">
        <f t="shared" si="1"/>
        <v>0.7341347004</v>
      </c>
      <c r="J118" s="81">
        <f t="shared" si="2"/>
        <v>0.576656473</v>
      </c>
    </row>
    <row r="119">
      <c r="A119" s="82">
        <v>44650.0</v>
      </c>
      <c r="B119" s="66">
        <v>2367.0</v>
      </c>
      <c r="C119" s="66">
        <v>3.0</v>
      </c>
      <c r="D119" s="66" t="s">
        <v>205</v>
      </c>
      <c r="E119" s="66" t="s">
        <v>58</v>
      </c>
      <c r="F119" s="66">
        <v>0.4747</v>
      </c>
      <c r="G119" s="66">
        <v>0.2734</v>
      </c>
      <c r="I119" s="81">
        <f t="shared" si="1"/>
        <v>0.7362838332</v>
      </c>
      <c r="J119" s="81">
        <f t="shared" si="2"/>
        <v>0.5759427007</v>
      </c>
    </row>
    <row r="120">
      <c r="A120" s="82">
        <v>44650.0</v>
      </c>
      <c r="B120" s="66">
        <v>2367.0</v>
      </c>
      <c r="C120" s="66">
        <v>3.0</v>
      </c>
      <c r="D120" s="66" t="s">
        <v>204</v>
      </c>
      <c r="E120" s="66">
        <v>0.0</v>
      </c>
      <c r="F120" s="66">
        <v>3.0135</v>
      </c>
      <c r="G120" s="66">
        <v>1.735</v>
      </c>
      <c r="H120" s="66" t="s">
        <v>226</v>
      </c>
      <c r="I120" s="81">
        <f t="shared" si="1"/>
        <v>0.7368876081</v>
      </c>
      <c r="J120" s="81">
        <f t="shared" si="2"/>
        <v>0.5757424921</v>
      </c>
    </row>
    <row r="121">
      <c r="A121" s="82">
        <v>44650.0</v>
      </c>
      <c r="B121" s="66">
        <v>2367.0</v>
      </c>
      <c r="C121" s="66">
        <v>3.0</v>
      </c>
      <c r="D121" s="66" t="s">
        <v>204</v>
      </c>
      <c r="E121" s="66">
        <v>1.0</v>
      </c>
      <c r="F121" s="66">
        <v>0.4324</v>
      </c>
      <c r="G121" s="66">
        <v>0.2488</v>
      </c>
      <c r="I121" s="81">
        <f t="shared" si="1"/>
        <v>0.7379421222</v>
      </c>
      <c r="J121" s="81">
        <f t="shared" si="2"/>
        <v>0.5753931545</v>
      </c>
    </row>
    <row r="122">
      <c r="A122" s="82">
        <v>44650.0</v>
      </c>
      <c r="B122" s="66">
        <v>2369.0</v>
      </c>
      <c r="C122" s="66">
        <v>1.0</v>
      </c>
      <c r="D122" s="66" t="s">
        <v>205</v>
      </c>
      <c r="E122" s="66" t="s">
        <v>58</v>
      </c>
      <c r="F122" s="66">
        <v>0.8867</v>
      </c>
      <c r="G122" s="66">
        <v>0.51</v>
      </c>
      <c r="H122" s="66" t="s">
        <v>227</v>
      </c>
      <c r="I122" s="81">
        <f t="shared" si="1"/>
        <v>0.738627451</v>
      </c>
      <c r="J122" s="81">
        <f t="shared" si="2"/>
        <v>0.5751663471</v>
      </c>
    </row>
    <row r="123">
      <c r="A123" s="82">
        <v>44650.0</v>
      </c>
      <c r="B123" s="66">
        <v>2369.0</v>
      </c>
      <c r="C123" s="66">
        <v>1.0</v>
      </c>
      <c r="D123" s="66" t="s">
        <v>204</v>
      </c>
      <c r="E123" s="66">
        <v>0.0</v>
      </c>
      <c r="F123" s="66">
        <v>0.2192</v>
      </c>
      <c r="G123" s="66">
        <v>0.126</v>
      </c>
      <c r="H123" s="66" t="s">
        <v>227</v>
      </c>
      <c r="I123" s="81">
        <f t="shared" si="1"/>
        <v>0.7396825397</v>
      </c>
      <c r="J123" s="81">
        <f t="shared" si="2"/>
        <v>0.5748175182</v>
      </c>
    </row>
    <row r="124">
      <c r="A124" s="82">
        <v>44650.0</v>
      </c>
      <c r="B124" s="66">
        <v>2369.0</v>
      </c>
      <c r="C124" s="66">
        <v>1.0</v>
      </c>
      <c r="D124" s="66" t="s">
        <v>204</v>
      </c>
      <c r="E124" s="66">
        <v>1.0</v>
      </c>
      <c r="F124" s="66">
        <v>2.1783</v>
      </c>
      <c r="G124" s="66">
        <v>1.252</v>
      </c>
      <c r="H124" s="66" t="s">
        <v>226</v>
      </c>
      <c r="I124" s="81">
        <f t="shared" si="1"/>
        <v>0.73985623</v>
      </c>
      <c r="J124" s="81">
        <f t="shared" si="2"/>
        <v>0.574760134</v>
      </c>
    </row>
    <row r="125">
      <c r="A125" s="82">
        <v>44650.0</v>
      </c>
      <c r="B125" s="66">
        <v>2369.0</v>
      </c>
      <c r="C125" s="66">
        <v>2.0</v>
      </c>
      <c r="D125" s="66" t="s">
        <v>205</v>
      </c>
      <c r="E125" s="66" t="s">
        <v>58</v>
      </c>
      <c r="F125" s="66">
        <v>1.7253</v>
      </c>
      <c r="G125" s="66">
        <v>0.991</v>
      </c>
      <c r="H125" s="66" t="s">
        <v>226</v>
      </c>
      <c r="I125" s="81">
        <f t="shared" si="1"/>
        <v>0.7409687185</v>
      </c>
      <c r="J125" s="81">
        <f t="shared" si="2"/>
        <v>0.5743928592</v>
      </c>
    </row>
    <row r="126">
      <c r="A126" s="82">
        <v>44650.0</v>
      </c>
      <c r="B126" s="66">
        <v>2369.0</v>
      </c>
      <c r="C126" s="66">
        <v>2.0</v>
      </c>
      <c r="D126" s="66" t="s">
        <v>204</v>
      </c>
      <c r="E126" s="66">
        <v>0.0</v>
      </c>
      <c r="F126" s="66">
        <v>0.2211</v>
      </c>
      <c r="G126" s="66">
        <v>0.1268</v>
      </c>
      <c r="I126" s="81">
        <f t="shared" si="1"/>
        <v>0.7436908517</v>
      </c>
      <c r="J126" s="81">
        <f t="shared" si="2"/>
        <v>0.5734961556</v>
      </c>
    </row>
    <row r="127">
      <c r="A127" s="82">
        <v>44650.0</v>
      </c>
      <c r="B127" s="66">
        <v>2369.0</v>
      </c>
      <c r="C127" s="66">
        <v>2.0</v>
      </c>
      <c r="D127" s="66" t="s">
        <v>204</v>
      </c>
      <c r="E127" s="66">
        <v>1.0</v>
      </c>
      <c r="F127" s="66">
        <v>1.5903</v>
      </c>
      <c r="G127" s="66">
        <v>0.912</v>
      </c>
      <c r="H127" s="66" t="s">
        <v>227</v>
      </c>
      <c r="I127" s="81">
        <f t="shared" si="1"/>
        <v>0.74375</v>
      </c>
      <c r="J127" s="81">
        <f t="shared" si="2"/>
        <v>0.5734767025</v>
      </c>
    </row>
    <row r="128">
      <c r="A128" s="82">
        <v>44650.0</v>
      </c>
      <c r="B128" s="66">
        <v>2369.0</v>
      </c>
      <c r="C128" s="66">
        <v>3.0</v>
      </c>
      <c r="D128" s="66" t="s">
        <v>205</v>
      </c>
      <c r="E128" s="66" t="s">
        <v>58</v>
      </c>
      <c r="F128" s="66">
        <v>0.7988</v>
      </c>
      <c r="G128" s="66">
        <v>0.458</v>
      </c>
      <c r="I128" s="81">
        <f t="shared" si="1"/>
        <v>0.7441048035</v>
      </c>
      <c r="J128" s="81">
        <f t="shared" si="2"/>
        <v>0.5733600401</v>
      </c>
    </row>
    <row r="129">
      <c r="A129" s="82">
        <v>44650.0</v>
      </c>
      <c r="B129" s="66">
        <v>2369.0</v>
      </c>
      <c r="C129" s="66">
        <v>3.0</v>
      </c>
      <c r="D129" s="66" t="s">
        <v>204</v>
      </c>
      <c r="E129" s="66">
        <v>0.0</v>
      </c>
      <c r="F129" s="66">
        <v>1.3195</v>
      </c>
      <c r="G129" s="66">
        <v>0.756</v>
      </c>
      <c r="I129" s="81">
        <f t="shared" si="1"/>
        <v>0.7453703704</v>
      </c>
      <c r="J129" s="81">
        <f t="shared" si="2"/>
        <v>0.5729442971</v>
      </c>
    </row>
    <row r="130">
      <c r="A130" s="82">
        <v>44650.0</v>
      </c>
      <c r="B130" s="66">
        <v>2369.0</v>
      </c>
      <c r="C130" s="66">
        <v>3.0</v>
      </c>
      <c r="D130" s="66" t="s">
        <v>204</v>
      </c>
      <c r="E130" s="66">
        <v>1.0</v>
      </c>
      <c r="F130" s="66">
        <v>0.1953</v>
      </c>
      <c r="G130" s="66">
        <v>0.1118</v>
      </c>
      <c r="I130" s="81">
        <f t="shared" si="1"/>
        <v>0.7468694097</v>
      </c>
      <c r="J130" s="81">
        <f t="shared" si="2"/>
        <v>0.572452637</v>
      </c>
    </row>
    <row r="131">
      <c r="A131" s="82">
        <v>44650.0</v>
      </c>
      <c r="B131" s="66">
        <v>2370.0</v>
      </c>
      <c r="C131" s="66">
        <v>1.0</v>
      </c>
      <c r="D131" s="66" t="s">
        <v>205</v>
      </c>
      <c r="E131" s="66" t="s">
        <v>58</v>
      </c>
      <c r="F131" s="66">
        <v>1.115</v>
      </c>
      <c r="G131" s="66">
        <v>0.638</v>
      </c>
      <c r="H131" s="66" t="s">
        <v>229</v>
      </c>
      <c r="I131" s="81">
        <f t="shared" si="1"/>
        <v>0.7476489028</v>
      </c>
      <c r="J131" s="81">
        <f t="shared" si="2"/>
        <v>0.5721973094</v>
      </c>
    </row>
    <row r="132">
      <c r="A132" s="82">
        <v>44650.0</v>
      </c>
      <c r="B132" s="66">
        <v>2370.0</v>
      </c>
      <c r="C132" s="66">
        <v>1.0</v>
      </c>
      <c r="D132" s="66" t="s">
        <v>204</v>
      </c>
      <c r="E132" s="66">
        <v>0.0</v>
      </c>
      <c r="F132" s="66">
        <v>0.0647</v>
      </c>
      <c r="G132" s="66">
        <v>0.037</v>
      </c>
      <c r="H132" s="66" t="s">
        <v>227</v>
      </c>
      <c r="I132" s="81">
        <f t="shared" si="1"/>
        <v>0.7486486486</v>
      </c>
      <c r="J132" s="81">
        <f t="shared" si="2"/>
        <v>0.57187017</v>
      </c>
    </row>
    <row r="133">
      <c r="A133" s="82">
        <v>44650.0</v>
      </c>
      <c r="B133" s="66">
        <v>2370.0</v>
      </c>
      <c r="C133" s="66">
        <v>1.0</v>
      </c>
      <c r="D133" s="66" t="s">
        <v>204</v>
      </c>
      <c r="E133" s="66">
        <v>1.0</v>
      </c>
      <c r="F133" s="66">
        <v>0.1382</v>
      </c>
      <c r="G133" s="66">
        <v>0.079</v>
      </c>
      <c r="H133" s="66" t="s">
        <v>227</v>
      </c>
      <c r="I133" s="81">
        <f t="shared" si="1"/>
        <v>0.7493670886</v>
      </c>
      <c r="J133" s="81">
        <f t="shared" si="2"/>
        <v>0.5716353111</v>
      </c>
    </row>
    <row r="134">
      <c r="A134" s="82">
        <v>44650.0</v>
      </c>
      <c r="B134" s="66">
        <v>2370.0</v>
      </c>
      <c r="C134" s="66">
        <v>2.0</v>
      </c>
      <c r="D134" s="66" t="s">
        <v>205</v>
      </c>
      <c r="E134" s="66" t="s">
        <v>58</v>
      </c>
      <c r="F134" s="66">
        <v>0.595</v>
      </c>
      <c r="G134" s="66">
        <v>0.34</v>
      </c>
      <c r="H134" s="66" t="s">
        <v>227</v>
      </c>
      <c r="I134" s="81">
        <f t="shared" si="1"/>
        <v>0.75</v>
      </c>
      <c r="J134" s="81">
        <f t="shared" si="2"/>
        <v>0.5714285714</v>
      </c>
    </row>
    <row r="135">
      <c r="A135" s="82">
        <v>44650.0</v>
      </c>
      <c r="B135" s="66">
        <v>2370.0</v>
      </c>
      <c r="C135" s="66">
        <v>2.0</v>
      </c>
      <c r="D135" s="66" t="s">
        <v>204</v>
      </c>
      <c r="E135" s="66">
        <v>0.0</v>
      </c>
      <c r="F135" s="66">
        <v>1.8393</v>
      </c>
      <c r="G135" s="66">
        <v>1.051</v>
      </c>
      <c r="I135" s="81">
        <f t="shared" si="1"/>
        <v>0.7500475737</v>
      </c>
      <c r="J135" s="81">
        <f t="shared" si="2"/>
        <v>0.5714130376</v>
      </c>
    </row>
    <row r="136">
      <c r="A136" s="82">
        <v>44650.0</v>
      </c>
      <c r="B136" s="66">
        <v>2370.0</v>
      </c>
      <c r="C136" s="66">
        <v>2.0</v>
      </c>
      <c r="D136" s="66" t="s">
        <v>204</v>
      </c>
      <c r="E136" s="66">
        <v>1.0</v>
      </c>
      <c r="F136" s="66">
        <v>0.6232</v>
      </c>
      <c r="G136" s="66">
        <v>0.3561</v>
      </c>
      <c r="H136" s="66" t="s">
        <v>230</v>
      </c>
      <c r="I136" s="81">
        <f t="shared" si="1"/>
        <v>0.750070205</v>
      </c>
      <c r="J136" s="81">
        <f t="shared" si="2"/>
        <v>0.5714056483</v>
      </c>
    </row>
    <row r="137">
      <c r="A137" s="82">
        <v>44650.0</v>
      </c>
      <c r="B137" s="66">
        <v>2370.0</v>
      </c>
      <c r="C137" s="66">
        <v>3.0</v>
      </c>
      <c r="D137" s="66" t="s">
        <v>205</v>
      </c>
      <c r="E137" s="66" t="s">
        <v>58</v>
      </c>
      <c r="F137" s="66">
        <v>0.2925</v>
      </c>
      <c r="G137" s="66">
        <v>0.167</v>
      </c>
      <c r="H137" s="66" t="s">
        <v>227</v>
      </c>
      <c r="I137" s="81">
        <f t="shared" si="1"/>
        <v>0.751497006</v>
      </c>
      <c r="J137" s="81">
        <f t="shared" si="2"/>
        <v>0.5709401709</v>
      </c>
    </row>
    <row r="138">
      <c r="A138" s="82">
        <v>44650.0</v>
      </c>
      <c r="B138" s="66">
        <v>2370.0</v>
      </c>
      <c r="C138" s="66">
        <v>3.0</v>
      </c>
      <c r="D138" s="66" t="s">
        <v>204</v>
      </c>
      <c r="E138" s="66">
        <v>0.0</v>
      </c>
      <c r="F138" s="66">
        <v>0.6378</v>
      </c>
      <c r="G138" s="66">
        <v>0.364</v>
      </c>
      <c r="I138" s="81">
        <f t="shared" si="1"/>
        <v>0.7521978022</v>
      </c>
      <c r="J138" s="81">
        <f t="shared" si="2"/>
        <v>0.5707118219</v>
      </c>
    </row>
    <row r="139">
      <c r="A139" s="82">
        <v>44650.0</v>
      </c>
      <c r="B139" s="66">
        <v>2370.0</v>
      </c>
      <c r="C139" s="66">
        <v>3.0</v>
      </c>
      <c r="D139" s="66" t="s">
        <v>204</v>
      </c>
      <c r="E139" s="66">
        <v>1.0</v>
      </c>
      <c r="F139" s="66">
        <v>0.2349</v>
      </c>
      <c r="G139" s="66">
        <v>0.134</v>
      </c>
      <c r="H139" s="66" t="s">
        <v>227</v>
      </c>
      <c r="I139" s="81">
        <f t="shared" si="1"/>
        <v>0.7529850746</v>
      </c>
      <c r="J139" s="81">
        <f t="shared" si="2"/>
        <v>0.570455513</v>
      </c>
    </row>
    <row r="140">
      <c r="A140" s="82">
        <v>44650.0</v>
      </c>
      <c r="B140" s="66">
        <v>2371.0</v>
      </c>
      <c r="C140" s="66">
        <v>1.0</v>
      </c>
      <c r="D140" s="66" t="s">
        <v>205</v>
      </c>
      <c r="E140" s="66" t="s">
        <v>58</v>
      </c>
      <c r="F140" s="66">
        <v>1.2503</v>
      </c>
      <c r="G140" s="66">
        <v>0.712</v>
      </c>
      <c r="H140" s="66" t="s">
        <v>227</v>
      </c>
      <c r="I140" s="81">
        <f t="shared" si="1"/>
        <v>0.7560393258</v>
      </c>
      <c r="J140" s="81">
        <f t="shared" si="2"/>
        <v>0.5694633288</v>
      </c>
    </row>
    <row r="141">
      <c r="A141" s="82">
        <v>44650.0</v>
      </c>
      <c r="B141" s="66">
        <v>2371.0</v>
      </c>
      <c r="C141" s="66">
        <v>1.0</v>
      </c>
      <c r="D141" s="66" t="s">
        <v>204</v>
      </c>
      <c r="E141" s="66">
        <v>0.0</v>
      </c>
      <c r="F141" s="66">
        <v>1.4186</v>
      </c>
      <c r="G141" s="66">
        <v>0.807</v>
      </c>
      <c r="H141" s="66" t="s">
        <v>226</v>
      </c>
      <c r="I141" s="81">
        <f t="shared" si="1"/>
        <v>0.7578686493</v>
      </c>
      <c r="J141" s="81">
        <f t="shared" si="2"/>
        <v>0.5688707176</v>
      </c>
    </row>
    <row r="142">
      <c r="A142" s="82">
        <v>44650.0</v>
      </c>
      <c r="B142" s="66">
        <v>2371.0</v>
      </c>
      <c r="C142" s="66">
        <v>1.0</v>
      </c>
      <c r="D142" s="66" t="s">
        <v>204</v>
      </c>
      <c r="E142" s="66">
        <v>1.0</v>
      </c>
      <c r="F142" s="66">
        <v>1.1948</v>
      </c>
      <c r="G142" s="66">
        <v>0.679</v>
      </c>
      <c r="I142" s="81">
        <f t="shared" si="1"/>
        <v>0.759646539</v>
      </c>
      <c r="J142" s="81">
        <f t="shared" si="2"/>
        <v>0.5682959491</v>
      </c>
    </row>
    <row r="143">
      <c r="A143" s="82">
        <v>44650.0</v>
      </c>
      <c r="B143" s="66">
        <v>2371.0</v>
      </c>
      <c r="C143" s="66">
        <v>2.0</v>
      </c>
      <c r="D143" s="66" t="s">
        <v>205</v>
      </c>
      <c r="E143" s="66" t="s">
        <v>58</v>
      </c>
      <c r="F143" s="66">
        <v>1.257</v>
      </c>
      <c r="G143" s="66">
        <v>0.7143</v>
      </c>
      <c r="I143" s="81">
        <f t="shared" si="1"/>
        <v>0.7597648047</v>
      </c>
      <c r="J143" s="81">
        <f t="shared" si="2"/>
        <v>0.5682577566</v>
      </c>
    </row>
    <row r="144">
      <c r="A144" s="82">
        <v>44650.0</v>
      </c>
      <c r="B144" s="66">
        <v>2371.0</v>
      </c>
      <c r="C144" s="66">
        <v>2.0</v>
      </c>
      <c r="D144" s="66" t="s">
        <v>204</v>
      </c>
      <c r="E144" s="66" t="s">
        <v>58</v>
      </c>
      <c r="F144" s="66">
        <v>0.4403</v>
      </c>
      <c r="G144" s="66">
        <v>0.2501</v>
      </c>
      <c r="I144" s="81">
        <f t="shared" si="1"/>
        <v>0.7604958017</v>
      </c>
      <c r="J144" s="81">
        <f t="shared" si="2"/>
        <v>0.5680218033</v>
      </c>
    </row>
    <row r="145">
      <c r="A145" s="82">
        <v>44650.0</v>
      </c>
      <c r="B145" s="66">
        <v>2371.0</v>
      </c>
      <c r="C145" s="66">
        <v>3.0</v>
      </c>
      <c r="D145" s="66" t="s">
        <v>205</v>
      </c>
      <c r="E145" s="66" t="s">
        <v>58</v>
      </c>
      <c r="F145" s="66">
        <v>1.0007</v>
      </c>
      <c r="G145" s="66">
        <v>0.568</v>
      </c>
      <c r="I145" s="81">
        <f t="shared" si="1"/>
        <v>0.7617957746</v>
      </c>
      <c r="J145" s="81">
        <f t="shared" si="2"/>
        <v>0.5676026781</v>
      </c>
    </row>
    <row r="146">
      <c r="A146" s="82">
        <v>44650.0</v>
      </c>
      <c r="B146" s="66">
        <v>2371.0</v>
      </c>
      <c r="C146" s="66">
        <v>3.0</v>
      </c>
      <c r="D146" s="66" t="s">
        <v>204</v>
      </c>
      <c r="E146" s="66">
        <v>0.0</v>
      </c>
      <c r="F146" s="66">
        <v>1.4716</v>
      </c>
      <c r="G146" s="66">
        <v>0.8352</v>
      </c>
      <c r="H146" s="66" t="s">
        <v>226</v>
      </c>
      <c r="I146" s="81">
        <f t="shared" si="1"/>
        <v>0.7619731801</v>
      </c>
      <c r="J146" s="81">
        <f t="shared" si="2"/>
        <v>0.5675455287</v>
      </c>
    </row>
    <row r="147">
      <c r="A147" s="82">
        <v>44650.0</v>
      </c>
      <c r="B147" s="66">
        <v>2371.0</v>
      </c>
      <c r="C147" s="66">
        <v>3.0</v>
      </c>
      <c r="D147" s="66" t="s">
        <v>204</v>
      </c>
      <c r="E147" s="66">
        <v>1.0</v>
      </c>
      <c r="F147" s="66">
        <v>0.437</v>
      </c>
      <c r="G147" s="66">
        <v>0.248</v>
      </c>
      <c r="H147" s="66" t="s">
        <v>227</v>
      </c>
      <c r="I147" s="81">
        <f t="shared" si="1"/>
        <v>0.7620967742</v>
      </c>
      <c r="J147" s="81">
        <f t="shared" si="2"/>
        <v>0.5675057208</v>
      </c>
    </row>
    <row r="148">
      <c r="A148" s="82">
        <v>44650.0</v>
      </c>
      <c r="B148" s="66">
        <v>2372.0</v>
      </c>
      <c r="C148" s="66">
        <v>1.0</v>
      </c>
      <c r="D148" s="66" t="s">
        <v>205</v>
      </c>
      <c r="E148" s="66" t="s">
        <v>58</v>
      </c>
      <c r="F148" s="66">
        <v>1.6583</v>
      </c>
      <c r="G148" s="66">
        <v>0.941</v>
      </c>
      <c r="H148" s="66" t="s">
        <v>226</v>
      </c>
      <c r="I148" s="81">
        <f t="shared" si="1"/>
        <v>0.7622741764</v>
      </c>
      <c r="J148" s="81">
        <f t="shared" si="2"/>
        <v>0.5674485919</v>
      </c>
    </row>
    <row r="149">
      <c r="A149" s="82">
        <v>44650.0</v>
      </c>
      <c r="B149" s="66">
        <v>2372.0</v>
      </c>
      <c r="C149" s="66">
        <v>1.0</v>
      </c>
      <c r="D149" s="66" t="s">
        <v>204</v>
      </c>
      <c r="E149" s="66">
        <v>0.0</v>
      </c>
      <c r="F149" s="66">
        <v>0.282</v>
      </c>
      <c r="G149" s="66">
        <v>0.16</v>
      </c>
      <c r="H149" s="66" t="s">
        <v>229</v>
      </c>
      <c r="I149" s="81">
        <f t="shared" si="1"/>
        <v>0.7625</v>
      </c>
      <c r="J149" s="81">
        <f t="shared" si="2"/>
        <v>0.5673758865</v>
      </c>
    </row>
    <row r="150">
      <c r="A150" s="82">
        <v>44650.0</v>
      </c>
      <c r="B150" s="66">
        <v>2372.0</v>
      </c>
      <c r="C150" s="66">
        <v>1.0</v>
      </c>
      <c r="D150" s="66" t="s">
        <v>204</v>
      </c>
      <c r="E150" s="66">
        <v>1.0</v>
      </c>
      <c r="F150" s="66">
        <v>0.7317</v>
      </c>
      <c r="G150" s="66">
        <v>0.415</v>
      </c>
      <c r="H150" s="66" t="s">
        <v>226</v>
      </c>
      <c r="I150" s="81">
        <f t="shared" si="1"/>
        <v>0.7631325301</v>
      </c>
      <c r="J150" s="81">
        <f t="shared" si="2"/>
        <v>0.5671723384</v>
      </c>
    </row>
    <row r="151">
      <c r="A151" s="82">
        <v>44650.0</v>
      </c>
      <c r="B151" s="66">
        <v>2372.0</v>
      </c>
      <c r="C151" s="66">
        <v>2.0</v>
      </c>
      <c r="D151" s="66" t="s">
        <v>205</v>
      </c>
      <c r="E151" s="66" t="s">
        <v>58</v>
      </c>
      <c r="F151" s="66">
        <v>1.2257</v>
      </c>
      <c r="G151" s="66">
        <v>0.695</v>
      </c>
      <c r="I151" s="81">
        <f t="shared" si="1"/>
        <v>0.7635971223</v>
      </c>
      <c r="J151" s="81">
        <f t="shared" si="2"/>
        <v>0.5670229257</v>
      </c>
    </row>
    <row r="152">
      <c r="A152" s="82">
        <v>44650.0</v>
      </c>
      <c r="B152" s="66">
        <v>2372.0</v>
      </c>
      <c r="C152" s="66">
        <v>2.0</v>
      </c>
      <c r="D152" s="66" t="s">
        <v>204</v>
      </c>
      <c r="E152" s="66">
        <v>0.0</v>
      </c>
      <c r="F152" s="66">
        <v>1.4512</v>
      </c>
      <c r="G152" s="66">
        <v>0.8228</v>
      </c>
      <c r="I152" s="81">
        <f t="shared" si="1"/>
        <v>0.7637335926</v>
      </c>
      <c r="J152" s="81">
        <f t="shared" si="2"/>
        <v>0.5669790518</v>
      </c>
    </row>
    <row r="153">
      <c r="A153" s="82">
        <v>44650.0</v>
      </c>
      <c r="B153" s="66">
        <v>2372.0</v>
      </c>
      <c r="C153" s="66">
        <v>2.0</v>
      </c>
      <c r="D153" s="66" t="s">
        <v>204</v>
      </c>
      <c r="E153" s="66">
        <v>1.0</v>
      </c>
      <c r="F153" s="66">
        <v>0.1041</v>
      </c>
      <c r="G153" s="66">
        <v>0.059</v>
      </c>
      <c r="H153" s="66" t="s">
        <v>227</v>
      </c>
      <c r="I153" s="81">
        <f t="shared" si="1"/>
        <v>0.7644067797</v>
      </c>
      <c r="J153" s="81">
        <f t="shared" si="2"/>
        <v>0.5667627281</v>
      </c>
    </row>
    <row r="154">
      <c r="A154" s="82">
        <v>44650.0</v>
      </c>
      <c r="B154" s="66">
        <v>2372.0</v>
      </c>
      <c r="C154" s="66">
        <v>3.0</v>
      </c>
      <c r="D154" s="66" t="s">
        <v>205</v>
      </c>
      <c r="E154" s="66" t="s">
        <v>58</v>
      </c>
      <c r="F154" s="66">
        <v>0.7848</v>
      </c>
      <c r="G154" s="66">
        <v>0.4442</v>
      </c>
      <c r="I154" s="81">
        <f t="shared" si="1"/>
        <v>0.7667717244</v>
      </c>
      <c r="J154" s="81">
        <f t="shared" si="2"/>
        <v>0.5660040775</v>
      </c>
    </row>
    <row r="155">
      <c r="A155" s="82">
        <v>44650.0</v>
      </c>
      <c r="B155" s="66">
        <v>2372.0</v>
      </c>
      <c r="C155" s="66">
        <v>3.0</v>
      </c>
      <c r="D155" s="66" t="s">
        <v>204</v>
      </c>
      <c r="E155" s="66">
        <v>0.0</v>
      </c>
      <c r="F155" s="66">
        <v>0.1592</v>
      </c>
      <c r="G155" s="66">
        <v>0.09</v>
      </c>
      <c r="H155" s="66" t="s">
        <v>227</v>
      </c>
      <c r="I155" s="81">
        <f t="shared" si="1"/>
        <v>0.7688888889</v>
      </c>
      <c r="J155" s="81">
        <f t="shared" si="2"/>
        <v>0.5653266332</v>
      </c>
    </row>
    <row r="156">
      <c r="A156" s="82">
        <v>44650.0</v>
      </c>
      <c r="B156" s="66">
        <v>2372.0</v>
      </c>
      <c r="C156" s="66">
        <v>3.0</v>
      </c>
      <c r="D156" s="66" t="s">
        <v>204</v>
      </c>
      <c r="E156" s="66">
        <v>1.0</v>
      </c>
      <c r="F156" s="66">
        <v>0.023</v>
      </c>
      <c r="G156" s="66">
        <v>0.013</v>
      </c>
      <c r="H156" s="66" t="s">
        <v>227</v>
      </c>
      <c r="I156" s="81">
        <f t="shared" si="1"/>
        <v>0.7692307692</v>
      </c>
      <c r="J156" s="81">
        <f t="shared" si="2"/>
        <v>0.5652173913</v>
      </c>
    </row>
    <row r="157">
      <c r="A157" s="82">
        <v>44650.0</v>
      </c>
      <c r="B157" s="66">
        <v>2375.0</v>
      </c>
      <c r="C157" s="66">
        <v>1.0</v>
      </c>
      <c r="D157" s="66" t="s">
        <v>205</v>
      </c>
      <c r="E157" s="66" t="s">
        <v>58</v>
      </c>
      <c r="F157" s="66">
        <v>0.945</v>
      </c>
      <c r="G157" s="66">
        <v>0.534</v>
      </c>
      <c r="H157" s="66" t="s">
        <v>227</v>
      </c>
      <c r="I157" s="81">
        <f t="shared" si="1"/>
        <v>0.7696629213</v>
      </c>
      <c r="J157" s="81">
        <f t="shared" si="2"/>
        <v>0.5650793651</v>
      </c>
    </row>
    <row r="158">
      <c r="A158" s="82">
        <v>44650.0</v>
      </c>
      <c r="B158" s="66">
        <v>2375.0</v>
      </c>
      <c r="C158" s="66">
        <v>1.0</v>
      </c>
      <c r="D158" s="66" t="s">
        <v>204</v>
      </c>
      <c r="E158" s="66">
        <v>0.0</v>
      </c>
      <c r="F158" s="66">
        <v>0.1941</v>
      </c>
      <c r="G158" s="66">
        <v>0.1096</v>
      </c>
      <c r="I158" s="81">
        <f t="shared" si="1"/>
        <v>0.7709854015</v>
      </c>
      <c r="J158" s="81">
        <f t="shared" si="2"/>
        <v>0.5646573931</v>
      </c>
    </row>
    <row r="159">
      <c r="A159" s="82">
        <v>44650.0</v>
      </c>
      <c r="B159" s="66">
        <v>2375.0</v>
      </c>
      <c r="C159" s="66">
        <v>1.0</v>
      </c>
      <c r="D159" s="66" t="s">
        <v>204</v>
      </c>
      <c r="E159" s="66">
        <v>1.0</v>
      </c>
      <c r="F159" s="66">
        <v>0.9263</v>
      </c>
      <c r="G159" s="66">
        <v>0.523</v>
      </c>
      <c r="H159" s="66" t="s">
        <v>226</v>
      </c>
      <c r="I159" s="81">
        <f t="shared" si="1"/>
        <v>0.7711281071</v>
      </c>
      <c r="J159" s="81">
        <f t="shared" si="2"/>
        <v>0.5646118968</v>
      </c>
    </row>
    <row r="160">
      <c r="A160" s="82">
        <v>44650.0</v>
      </c>
      <c r="B160" s="66">
        <v>2375.0</v>
      </c>
      <c r="C160" s="66">
        <v>2.0</v>
      </c>
      <c r="D160" s="66" t="s">
        <v>205</v>
      </c>
      <c r="E160" s="66" t="s">
        <v>58</v>
      </c>
      <c r="F160" s="66">
        <v>0.3579</v>
      </c>
      <c r="G160" s="66">
        <v>0.202</v>
      </c>
      <c r="H160" s="66" t="s">
        <v>227</v>
      </c>
      <c r="I160" s="81">
        <f t="shared" si="1"/>
        <v>0.7717821782</v>
      </c>
      <c r="J160" s="81">
        <f t="shared" si="2"/>
        <v>0.5644034647</v>
      </c>
    </row>
    <row r="161">
      <c r="A161" s="82">
        <v>44650.0</v>
      </c>
      <c r="B161" s="66">
        <v>2375.0</v>
      </c>
      <c r="C161" s="66">
        <v>2.0</v>
      </c>
      <c r="D161" s="66" t="s">
        <v>204</v>
      </c>
      <c r="E161" s="66">
        <v>0.0</v>
      </c>
      <c r="F161" s="66">
        <v>0.131</v>
      </c>
      <c r="G161" s="66">
        <v>0.0739</v>
      </c>
      <c r="H161" s="66" t="s">
        <v>226</v>
      </c>
      <c r="I161" s="81">
        <f t="shared" si="1"/>
        <v>0.7726657645</v>
      </c>
      <c r="J161" s="81">
        <f t="shared" si="2"/>
        <v>0.5641221374</v>
      </c>
    </row>
    <row r="162">
      <c r="A162" s="82">
        <v>44650.0</v>
      </c>
      <c r="B162" s="66">
        <v>2375.0</v>
      </c>
      <c r="C162" s="66">
        <v>2.0</v>
      </c>
      <c r="D162" s="66" t="s">
        <v>204</v>
      </c>
      <c r="E162" s="66">
        <v>1.0</v>
      </c>
      <c r="F162" s="66">
        <v>1.4668</v>
      </c>
      <c r="G162" s="66">
        <v>0.827</v>
      </c>
      <c r="H162" s="66" t="s">
        <v>227</v>
      </c>
      <c r="I162" s="81">
        <f t="shared" si="1"/>
        <v>0.7736396614</v>
      </c>
      <c r="J162" s="81">
        <f t="shared" si="2"/>
        <v>0.5638123807</v>
      </c>
    </row>
    <row r="163">
      <c r="A163" s="82">
        <v>44650.0</v>
      </c>
      <c r="B163" s="66">
        <v>2375.0</v>
      </c>
      <c r="C163" s="66">
        <v>3.0</v>
      </c>
      <c r="D163" s="66" t="s">
        <v>205</v>
      </c>
      <c r="E163" s="66" t="s">
        <v>58</v>
      </c>
      <c r="F163" s="66">
        <v>0.937</v>
      </c>
      <c r="G163" s="66">
        <v>0.528</v>
      </c>
      <c r="H163" s="66" t="s">
        <v>229</v>
      </c>
      <c r="I163" s="81">
        <f t="shared" si="1"/>
        <v>0.7746212121</v>
      </c>
      <c r="J163" s="81">
        <f t="shared" si="2"/>
        <v>0.5635005336</v>
      </c>
    </row>
    <row r="164">
      <c r="A164" s="82">
        <v>44650.0</v>
      </c>
      <c r="B164" s="66">
        <v>2375.0</v>
      </c>
      <c r="C164" s="66">
        <v>3.0</v>
      </c>
      <c r="D164" s="66" t="s">
        <v>204</v>
      </c>
      <c r="E164" s="66" t="s">
        <v>58</v>
      </c>
      <c r="F164" s="66">
        <v>0.6531</v>
      </c>
      <c r="G164" s="66">
        <v>0.368</v>
      </c>
      <c r="H164" s="66" t="s">
        <v>227</v>
      </c>
      <c r="I164" s="81">
        <f t="shared" si="1"/>
        <v>0.7747282609</v>
      </c>
      <c r="J164" s="81">
        <f t="shared" si="2"/>
        <v>0.5634665442</v>
      </c>
    </row>
    <row r="165">
      <c r="A165" s="82">
        <v>44650.0</v>
      </c>
      <c r="B165" s="66">
        <v>2376.0</v>
      </c>
      <c r="C165" s="66">
        <v>1.0</v>
      </c>
      <c r="D165" s="66" t="s">
        <v>205</v>
      </c>
      <c r="E165" s="66" t="s">
        <v>58</v>
      </c>
      <c r="F165" s="66">
        <v>0.355</v>
      </c>
      <c r="G165" s="66">
        <v>0.2</v>
      </c>
      <c r="I165" s="81">
        <f t="shared" si="1"/>
        <v>0.775</v>
      </c>
      <c r="J165" s="81">
        <f t="shared" si="2"/>
        <v>0.5633802817</v>
      </c>
    </row>
    <row r="166">
      <c r="A166" s="82">
        <v>44650.0</v>
      </c>
      <c r="B166" s="66">
        <v>2376.0</v>
      </c>
      <c r="C166" s="66">
        <v>1.0</v>
      </c>
      <c r="D166" s="66" t="s">
        <v>204</v>
      </c>
      <c r="E166" s="66" t="s">
        <v>58</v>
      </c>
      <c r="F166" s="66">
        <v>0.387</v>
      </c>
      <c r="G166" s="66">
        <v>0.218</v>
      </c>
      <c r="H166" s="66" t="s">
        <v>227</v>
      </c>
      <c r="I166" s="81">
        <f t="shared" si="1"/>
        <v>0.7752293578</v>
      </c>
      <c r="J166" s="81">
        <f t="shared" si="2"/>
        <v>0.5633074935</v>
      </c>
    </row>
    <row r="167">
      <c r="A167" s="82">
        <v>44650.0</v>
      </c>
      <c r="B167" s="66">
        <v>2376.0</v>
      </c>
      <c r="C167" s="66">
        <v>2.0</v>
      </c>
      <c r="D167" s="66" t="s">
        <v>205</v>
      </c>
      <c r="E167" s="66" t="s">
        <v>58</v>
      </c>
      <c r="F167" s="66">
        <v>0.8061</v>
      </c>
      <c r="G167" s="66">
        <v>0.454</v>
      </c>
      <c r="H167" s="66" t="s">
        <v>226</v>
      </c>
      <c r="I167" s="81">
        <f t="shared" si="1"/>
        <v>0.7755506608</v>
      </c>
      <c r="J167" s="81">
        <f t="shared" si="2"/>
        <v>0.5632055576</v>
      </c>
    </row>
    <row r="168">
      <c r="A168" s="82">
        <v>44650.0</v>
      </c>
      <c r="B168" s="66">
        <v>2376.0</v>
      </c>
      <c r="C168" s="66">
        <v>2.0</v>
      </c>
      <c r="D168" s="66" t="s">
        <v>204</v>
      </c>
      <c r="E168" s="66" t="s">
        <v>58</v>
      </c>
      <c r="F168" s="66">
        <v>0.4355</v>
      </c>
      <c r="G168" s="66">
        <v>0.245</v>
      </c>
      <c r="H168" s="66" t="s">
        <v>227</v>
      </c>
      <c r="I168" s="81">
        <f t="shared" si="1"/>
        <v>0.7775510204</v>
      </c>
      <c r="J168" s="81">
        <f t="shared" si="2"/>
        <v>0.5625717566</v>
      </c>
    </row>
    <row r="169">
      <c r="A169" s="82">
        <v>44650.0</v>
      </c>
      <c r="B169" s="66">
        <v>2376.0</v>
      </c>
      <c r="C169" s="66">
        <v>3.0</v>
      </c>
      <c r="D169" s="66" t="s">
        <v>205</v>
      </c>
      <c r="E169" s="66" t="s">
        <v>58</v>
      </c>
      <c r="F169" s="66">
        <v>0.939</v>
      </c>
      <c r="G169" s="66">
        <v>0.528</v>
      </c>
      <c r="H169" s="66" t="s">
        <v>227</v>
      </c>
      <c r="I169" s="81">
        <f t="shared" si="1"/>
        <v>0.7784090909</v>
      </c>
      <c r="J169" s="81">
        <f t="shared" si="2"/>
        <v>0.5623003195</v>
      </c>
    </row>
    <row r="170">
      <c r="A170" s="82">
        <v>44650.0</v>
      </c>
      <c r="B170" s="66">
        <v>2376.0</v>
      </c>
      <c r="C170" s="66">
        <v>3.0</v>
      </c>
      <c r="D170" s="66" t="s">
        <v>204</v>
      </c>
      <c r="E170" s="66" t="s">
        <v>58</v>
      </c>
      <c r="F170" s="66">
        <v>0.9779</v>
      </c>
      <c r="G170" s="66">
        <v>0.549</v>
      </c>
      <c r="I170" s="81">
        <f t="shared" si="1"/>
        <v>0.7812386157</v>
      </c>
      <c r="J170" s="81">
        <f t="shared" si="2"/>
        <v>0.5614070968</v>
      </c>
    </row>
    <row r="171">
      <c r="A171" s="82">
        <v>44650.0</v>
      </c>
      <c r="B171" s="66">
        <v>2377.0</v>
      </c>
      <c r="C171" s="66">
        <v>1.0</v>
      </c>
      <c r="D171" s="66" t="s">
        <v>205</v>
      </c>
      <c r="E171" s="66" t="s">
        <v>58</v>
      </c>
      <c r="F171" s="66">
        <v>1.4681</v>
      </c>
      <c r="G171" s="66">
        <v>0.824</v>
      </c>
      <c r="H171" s="66" t="s">
        <v>226</v>
      </c>
      <c r="I171" s="81">
        <f t="shared" si="1"/>
        <v>0.7816747573</v>
      </c>
      <c r="J171" s="81">
        <f t="shared" si="2"/>
        <v>0.5612696683</v>
      </c>
    </row>
    <row r="172">
      <c r="A172" s="82">
        <v>44650.0</v>
      </c>
      <c r="B172" s="66">
        <v>2377.0</v>
      </c>
      <c r="C172" s="66">
        <v>1.0</v>
      </c>
      <c r="D172" s="66" t="s">
        <v>204</v>
      </c>
      <c r="E172" s="66" t="s">
        <v>58</v>
      </c>
      <c r="F172" s="66">
        <v>1.4277</v>
      </c>
      <c r="G172" s="66">
        <v>0.8012</v>
      </c>
      <c r="I172" s="81">
        <f t="shared" si="1"/>
        <v>0.7819520719</v>
      </c>
      <c r="J172" s="81">
        <f t="shared" si="2"/>
        <v>0.5611823212</v>
      </c>
    </row>
    <row r="173">
      <c r="A173" s="82">
        <v>44650.0</v>
      </c>
      <c r="B173" s="66">
        <v>2377.0</v>
      </c>
      <c r="C173" s="66">
        <v>2.0</v>
      </c>
      <c r="D173" s="66" t="s">
        <v>205</v>
      </c>
      <c r="E173" s="66" t="s">
        <v>58</v>
      </c>
      <c r="F173" s="66">
        <v>0.2337</v>
      </c>
      <c r="G173" s="66">
        <v>0.131</v>
      </c>
      <c r="I173" s="81">
        <f t="shared" si="1"/>
        <v>0.7839694656</v>
      </c>
      <c r="J173" s="81">
        <f t="shared" si="2"/>
        <v>0.5605477107</v>
      </c>
    </row>
    <row r="174">
      <c r="A174" s="82">
        <v>44650.0</v>
      </c>
      <c r="B174" s="66">
        <v>2377.0</v>
      </c>
      <c r="C174" s="66">
        <v>2.0</v>
      </c>
      <c r="D174" s="66" t="s">
        <v>204</v>
      </c>
      <c r="E174" s="66" t="s">
        <v>58</v>
      </c>
      <c r="F174" s="66">
        <v>0.0232</v>
      </c>
      <c r="G174" s="66">
        <v>0.013</v>
      </c>
      <c r="H174" s="66" t="s">
        <v>227</v>
      </c>
      <c r="I174" s="81">
        <f t="shared" si="1"/>
        <v>0.7846153846</v>
      </c>
      <c r="J174" s="81">
        <f t="shared" si="2"/>
        <v>0.5603448276</v>
      </c>
    </row>
    <row r="175">
      <c r="A175" s="82">
        <v>44650.0</v>
      </c>
      <c r="B175" s="66">
        <v>2377.0</v>
      </c>
      <c r="C175" s="66">
        <v>3.0</v>
      </c>
      <c r="D175" s="66" t="s">
        <v>205</v>
      </c>
      <c r="E175" s="66" t="s">
        <v>58</v>
      </c>
      <c r="F175" s="66">
        <v>0.1245</v>
      </c>
      <c r="G175" s="66">
        <v>0.0697</v>
      </c>
      <c r="H175" s="66" t="s">
        <v>230</v>
      </c>
      <c r="I175" s="81">
        <f t="shared" si="1"/>
        <v>0.7862266858</v>
      </c>
      <c r="J175" s="81">
        <f t="shared" si="2"/>
        <v>0.5598393574</v>
      </c>
    </row>
    <row r="176">
      <c r="A176" s="82">
        <v>44650.0</v>
      </c>
      <c r="B176" s="66">
        <v>2377.0</v>
      </c>
      <c r="C176" s="66">
        <v>3.0</v>
      </c>
      <c r="D176" s="66" t="s">
        <v>204</v>
      </c>
      <c r="E176" s="66" t="s">
        <v>58</v>
      </c>
      <c r="F176" s="66">
        <v>1.0888</v>
      </c>
      <c r="G176" s="66">
        <v>0.609</v>
      </c>
      <c r="I176" s="81">
        <f t="shared" si="1"/>
        <v>0.7878489327</v>
      </c>
      <c r="J176" s="81">
        <f t="shared" si="2"/>
        <v>0.559331374</v>
      </c>
    </row>
    <row r="177">
      <c r="A177" s="82">
        <v>44650.0</v>
      </c>
      <c r="B177" s="66">
        <v>2378.0</v>
      </c>
      <c r="C177" s="66">
        <v>1.0</v>
      </c>
      <c r="D177" s="66" t="s">
        <v>205</v>
      </c>
      <c r="E177" s="66" t="s">
        <v>58</v>
      </c>
      <c r="F177" s="66">
        <v>0.694</v>
      </c>
      <c r="G177" s="66">
        <v>0.388</v>
      </c>
      <c r="H177" s="66" t="s">
        <v>229</v>
      </c>
      <c r="I177" s="81">
        <f t="shared" si="1"/>
        <v>0.7886597938</v>
      </c>
      <c r="J177" s="81">
        <f t="shared" si="2"/>
        <v>0.5590778098</v>
      </c>
    </row>
    <row r="178">
      <c r="A178" s="82">
        <v>44650.0</v>
      </c>
      <c r="B178" s="66">
        <v>2378.0</v>
      </c>
      <c r="C178" s="66">
        <v>1.0</v>
      </c>
      <c r="D178" s="66" t="s">
        <v>204</v>
      </c>
      <c r="E178" s="66">
        <v>0.0</v>
      </c>
      <c r="F178" s="66">
        <v>1.0202</v>
      </c>
      <c r="G178" s="66">
        <v>0.57</v>
      </c>
      <c r="H178" s="66" t="s">
        <v>227</v>
      </c>
      <c r="I178" s="81">
        <f t="shared" si="1"/>
        <v>0.7898245614</v>
      </c>
      <c r="J178" s="81">
        <f t="shared" si="2"/>
        <v>0.5587139777</v>
      </c>
    </row>
    <row r="179">
      <c r="A179" s="82">
        <v>44650.0</v>
      </c>
      <c r="B179" s="66">
        <v>2378.0</v>
      </c>
      <c r="C179" s="66">
        <v>1.0</v>
      </c>
      <c r="D179" s="66" t="s">
        <v>204</v>
      </c>
      <c r="E179" s="66">
        <v>1.0</v>
      </c>
      <c r="F179" s="66">
        <v>0.324</v>
      </c>
      <c r="G179" s="66">
        <v>0.181</v>
      </c>
      <c r="H179" s="66" t="s">
        <v>229</v>
      </c>
      <c r="I179" s="81">
        <f t="shared" si="1"/>
        <v>0.7900552486</v>
      </c>
      <c r="J179" s="81">
        <f t="shared" si="2"/>
        <v>0.5586419753</v>
      </c>
    </row>
    <row r="180">
      <c r="A180" s="82">
        <v>44650.0</v>
      </c>
      <c r="B180" s="66">
        <v>2378.0</v>
      </c>
      <c r="C180" s="66">
        <v>2.0</v>
      </c>
      <c r="D180" s="66" t="s">
        <v>205</v>
      </c>
      <c r="E180" s="66" t="s">
        <v>58</v>
      </c>
      <c r="F180" s="66">
        <v>0.8756</v>
      </c>
      <c r="G180" s="66">
        <v>0.489</v>
      </c>
      <c r="I180" s="81">
        <f t="shared" si="1"/>
        <v>0.790593047</v>
      </c>
      <c r="J180" s="81">
        <f t="shared" si="2"/>
        <v>0.5584741891</v>
      </c>
    </row>
    <row r="181">
      <c r="A181" s="82">
        <v>44650.0</v>
      </c>
      <c r="B181" s="66">
        <v>2378.0</v>
      </c>
      <c r="C181" s="66">
        <v>2.0</v>
      </c>
      <c r="D181" s="66" t="s">
        <v>204</v>
      </c>
      <c r="E181" s="66">
        <v>0.0</v>
      </c>
      <c r="F181" s="66">
        <v>0.9921</v>
      </c>
      <c r="G181" s="66">
        <v>0.554</v>
      </c>
      <c r="H181" s="66" t="s">
        <v>226</v>
      </c>
      <c r="I181" s="81">
        <f t="shared" si="1"/>
        <v>0.7907942238</v>
      </c>
      <c r="J181" s="81">
        <f t="shared" si="2"/>
        <v>0.5584114505</v>
      </c>
    </row>
    <row r="182">
      <c r="A182" s="82">
        <v>44650.0</v>
      </c>
      <c r="B182" s="66">
        <v>2378.0</v>
      </c>
      <c r="C182" s="66">
        <v>2.0</v>
      </c>
      <c r="D182" s="66" t="s">
        <v>204</v>
      </c>
      <c r="E182" s="66">
        <v>1.0</v>
      </c>
      <c r="F182" s="66">
        <v>0.1415</v>
      </c>
      <c r="G182" s="66">
        <v>0.079</v>
      </c>
      <c r="H182" s="66" t="s">
        <v>227</v>
      </c>
      <c r="I182" s="81">
        <f t="shared" si="1"/>
        <v>0.7911392405</v>
      </c>
      <c r="J182" s="81">
        <f t="shared" si="2"/>
        <v>0.5583038869</v>
      </c>
    </row>
    <row r="183">
      <c r="A183" s="82">
        <v>44650.0</v>
      </c>
      <c r="B183" s="66">
        <v>2378.0</v>
      </c>
      <c r="C183" s="66">
        <v>3.0</v>
      </c>
      <c r="D183" s="66" t="s">
        <v>205</v>
      </c>
      <c r="E183" s="66" t="s">
        <v>58</v>
      </c>
      <c r="F183" s="66">
        <v>0.6257</v>
      </c>
      <c r="G183" s="66">
        <v>0.3493</v>
      </c>
      <c r="I183" s="81">
        <f t="shared" si="1"/>
        <v>0.7912968795</v>
      </c>
      <c r="J183" s="81">
        <f t="shared" si="2"/>
        <v>0.5582547547</v>
      </c>
    </row>
    <row r="184">
      <c r="A184" s="82">
        <v>44650.0</v>
      </c>
      <c r="B184" s="66">
        <v>2378.0</v>
      </c>
      <c r="C184" s="66">
        <v>3.0</v>
      </c>
      <c r="D184" s="66" t="s">
        <v>204</v>
      </c>
      <c r="E184" s="66">
        <v>0.0</v>
      </c>
      <c r="F184" s="66">
        <v>0.2133</v>
      </c>
      <c r="G184" s="66">
        <v>0.119</v>
      </c>
      <c r="I184" s="81">
        <f t="shared" si="1"/>
        <v>0.7924369748</v>
      </c>
      <c r="J184" s="81">
        <f t="shared" si="2"/>
        <v>0.5578996718</v>
      </c>
    </row>
    <row r="185">
      <c r="A185" s="82">
        <v>44650.0</v>
      </c>
      <c r="B185" s="66">
        <v>2378.0</v>
      </c>
      <c r="C185" s="66">
        <v>3.0</v>
      </c>
      <c r="D185" s="66" t="s">
        <v>204</v>
      </c>
      <c r="E185" s="66">
        <v>1.0</v>
      </c>
      <c r="F185" s="66">
        <v>0.147</v>
      </c>
      <c r="G185" s="66">
        <v>0.082</v>
      </c>
      <c r="H185" s="66" t="s">
        <v>227</v>
      </c>
      <c r="I185" s="81">
        <f t="shared" si="1"/>
        <v>0.7926829268</v>
      </c>
      <c r="J185" s="81">
        <f t="shared" si="2"/>
        <v>0.5578231293</v>
      </c>
    </row>
    <row r="186">
      <c r="A186" s="82">
        <v>44650.0</v>
      </c>
      <c r="B186" s="66">
        <v>2379.0</v>
      </c>
      <c r="C186" s="66">
        <v>1.0</v>
      </c>
      <c r="D186" s="66" t="s">
        <v>205</v>
      </c>
      <c r="E186" s="66" t="s">
        <v>58</v>
      </c>
      <c r="F186" s="66">
        <v>0.3123</v>
      </c>
      <c r="G186" s="66">
        <v>0.174</v>
      </c>
      <c r="H186" s="66" t="s">
        <v>226</v>
      </c>
      <c r="I186" s="81">
        <f t="shared" si="1"/>
        <v>0.7948275862</v>
      </c>
      <c r="J186" s="81">
        <f t="shared" si="2"/>
        <v>0.5571565802</v>
      </c>
    </row>
    <row r="187">
      <c r="A187" s="82">
        <v>44650.0</v>
      </c>
      <c r="B187" s="66">
        <v>2379.0</v>
      </c>
      <c r="C187" s="66">
        <v>1.0</v>
      </c>
      <c r="D187" s="66" t="s">
        <v>204</v>
      </c>
      <c r="E187" s="66">
        <v>0.0</v>
      </c>
      <c r="F187" s="66">
        <v>0.1445</v>
      </c>
      <c r="G187" s="66">
        <v>0.0805</v>
      </c>
      <c r="H187" s="66" t="s">
        <v>230</v>
      </c>
      <c r="I187" s="81">
        <f t="shared" si="1"/>
        <v>0.7950310559</v>
      </c>
      <c r="J187" s="81">
        <f t="shared" si="2"/>
        <v>0.5570934256</v>
      </c>
    </row>
    <row r="188">
      <c r="A188" s="82">
        <v>44650.0</v>
      </c>
      <c r="B188" s="66">
        <v>2379.0</v>
      </c>
      <c r="C188" s="66">
        <v>1.0</v>
      </c>
      <c r="D188" s="66" t="s">
        <v>204</v>
      </c>
      <c r="E188" s="66">
        <v>1.0</v>
      </c>
      <c r="F188" s="66">
        <v>1.8612</v>
      </c>
      <c r="G188" s="66">
        <v>1.0362</v>
      </c>
      <c r="I188" s="81">
        <f t="shared" si="1"/>
        <v>0.7961783439</v>
      </c>
      <c r="J188" s="81">
        <f t="shared" si="2"/>
        <v>0.5567375887</v>
      </c>
    </row>
    <row r="189">
      <c r="A189" s="82">
        <v>44650.0</v>
      </c>
      <c r="B189" s="66">
        <v>2379.0</v>
      </c>
      <c r="C189" s="66">
        <v>2.0</v>
      </c>
      <c r="D189" s="66" t="s">
        <v>205</v>
      </c>
      <c r="E189" s="66" t="s">
        <v>58</v>
      </c>
      <c r="F189" s="66">
        <v>1.2179</v>
      </c>
      <c r="G189" s="66">
        <v>0.678</v>
      </c>
      <c r="H189" s="66" t="s">
        <v>226</v>
      </c>
      <c r="I189" s="81">
        <f t="shared" si="1"/>
        <v>0.7963126844</v>
      </c>
      <c r="J189" s="81">
        <f t="shared" si="2"/>
        <v>0.556695952</v>
      </c>
    </row>
    <row r="190">
      <c r="A190" s="82">
        <v>44650.0</v>
      </c>
      <c r="B190" s="66">
        <v>2379.0</v>
      </c>
      <c r="C190" s="66">
        <v>2.0</v>
      </c>
      <c r="D190" s="66" t="s">
        <v>204</v>
      </c>
      <c r="E190" s="66">
        <v>0.0</v>
      </c>
      <c r="F190" s="66">
        <v>1.051</v>
      </c>
      <c r="G190" s="66">
        <v>0.585</v>
      </c>
      <c r="H190" s="66" t="s">
        <v>229</v>
      </c>
      <c r="I190" s="81">
        <f t="shared" si="1"/>
        <v>0.7965811966</v>
      </c>
      <c r="J190" s="81">
        <f t="shared" si="2"/>
        <v>0.5566127498</v>
      </c>
    </row>
    <row r="191">
      <c r="A191" s="82">
        <v>44650.0</v>
      </c>
      <c r="B191" s="66">
        <v>2379.0</v>
      </c>
      <c r="C191" s="66">
        <v>2.0</v>
      </c>
      <c r="D191" s="66" t="s">
        <v>204</v>
      </c>
      <c r="E191" s="66">
        <v>1.0</v>
      </c>
      <c r="F191" s="66">
        <v>1.6047</v>
      </c>
      <c r="G191" s="66">
        <v>0.893</v>
      </c>
      <c r="H191" s="66" t="s">
        <v>227</v>
      </c>
      <c r="I191" s="81">
        <f t="shared" si="1"/>
        <v>0.7969764838</v>
      </c>
      <c r="J191" s="81">
        <f t="shared" si="2"/>
        <v>0.5564903097</v>
      </c>
    </row>
    <row r="192">
      <c r="A192" s="82">
        <v>44650.0</v>
      </c>
      <c r="B192" s="66">
        <v>2379.0</v>
      </c>
      <c r="C192" s="66">
        <v>3.0</v>
      </c>
      <c r="D192" s="66" t="s">
        <v>205</v>
      </c>
      <c r="E192" s="66" t="s">
        <v>58</v>
      </c>
      <c r="F192" s="66">
        <v>1.001</v>
      </c>
      <c r="G192" s="66">
        <v>0.557</v>
      </c>
      <c r="H192" s="66" t="s">
        <v>227</v>
      </c>
      <c r="I192" s="81">
        <f t="shared" si="1"/>
        <v>0.7971274686</v>
      </c>
      <c r="J192" s="81">
        <f t="shared" si="2"/>
        <v>0.5564435564</v>
      </c>
    </row>
    <row r="193">
      <c r="A193" s="82">
        <v>44650.0</v>
      </c>
      <c r="B193" s="66">
        <v>2379.0</v>
      </c>
      <c r="C193" s="66">
        <v>3.0</v>
      </c>
      <c r="D193" s="66" t="s">
        <v>204</v>
      </c>
      <c r="E193" s="66">
        <v>0.0</v>
      </c>
      <c r="F193" s="66">
        <v>2.1683</v>
      </c>
      <c r="G193" s="66">
        <v>1.205</v>
      </c>
      <c r="H193" s="66" t="s">
        <v>226</v>
      </c>
      <c r="I193" s="81">
        <f t="shared" si="1"/>
        <v>0.7994190871</v>
      </c>
      <c r="J193" s="81">
        <f t="shared" si="2"/>
        <v>0.5557349075</v>
      </c>
    </row>
    <row r="194">
      <c r="A194" s="82">
        <v>44650.0</v>
      </c>
      <c r="B194" s="66">
        <v>2379.0</v>
      </c>
      <c r="C194" s="66">
        <v>3.0</v>
      </c>
      <c r="D194" s="66" t="s">
        <v>204</v>
      </c>
      <c r="E194" s="66">
        <v>1.0</v>
      </c>
      <c r="F194" s="66">
        <v>0.3108</v>
      </c>
      <c r="G194" s="66">
        <v>0.1727</v>
      </c>
      <c r="H194" s="66" t="s">
        <v>230</v>
      </c>
      <c r="I194" s="81">
        <f t="shared" si="1"/>
        <v>0.7996525767</v>
      </c>
      <c r="J194" s="81">
        <f t="shared" si="2"/>
        <v>0.5556628057</v>
      </c>
    </row>
    <row r="195">
      <c r="A195" s="82">
        <v>44650.0</v>
      </c>
      <c r="B195" s="66">
        <v>2380.0</v>
      </c>
      <c r="C195" s="66">
        <v>1.0</v>
      </c>
      <c r="D195" s="66" t="s">
        <v>205</v>
      </c>
      <c r="E195" s="66" t="s">
        <v>58</v>
      </c>
      <c r="F195" s="66">
        <v>0.5673</v>
      </c>
      <c r="G195" s="66">
        <v>0.3151</v>
      </c>
      <c r="H195" s="66" t="s">
        <v>227</v>
      </c>
      <c r="I195" s="81">
        <f t="shared" si="1"/>
        <v>0.8003808315</v>
      </c>
      <c r="J195" s="81">
        <f t="shared" si="2"/>
        <v>0.5554380398</v>
      </c>
    </row>
    <row r="196">
      <c r="A196" s="82">
        <v>44650.0</v>
      </c>
      <c r="B196" s="66">
        <v>2380.0</v>
      </c>
      <c r="C196" s="66">
        <v>1.0</v>
      </c>
      <c r="D196" s="66" t="s">
        <v>204</v>
      </c>
      <c r="E196" s="66" t="s">
        <v>58</v>
      </c>
      <c r="F196" s="66">
        <v>0.3434</v>
      </c>
      <c r="G196" s="66">
        <v>0.1907</v>
      </c>
      <c r="I196" s="81">
        <f t="shared" si="1"/>
        <v>0.8007341374</v>
      </c>
      <c r="J196" s="81">
        <f t="shared" si="2"/>
        <v>0.5553290623</v>
      </c>
    </row>
    <row r="197">
      <c r="A197" s="82">
        <v>44650.0</v>
      </c>
      <c r="B197" s="66">
        <v>2380.0</v>
      </c>
      <c r="C197" s="66">
        <v>2.0</v>
      </c>
      <c r="D197" s="66" t="s">
        <v>205</v>
      </c>
      <c r="E197" s="66" t="s">
        <v>58</v>
      </c>
      <c r="F197" s="66">
        <v>1.72</v>
      </c>
      <c r="G197" s="66">
        <v>0.955</v>
      </c>
      <c r="H197" s="66" t="s">
        <v>226</v>
      </c>
      <c r="I197" s="81">
        <f t="shared" si="1"/>
        <v>0.8010471204</v>
      </c>
      <c r="J197" s="81">
        <f t="shared" si="2"/>
        <v>0.5552325581</v>
      </c>
    </row>
    <row r="198">
      <c r="A198" s="82">
        <v>44650.0</v>
      </c>
      <c r="B198" s="66">
        <v>2380.0</v>
      </c>
      <c r="C198" s="66">
        <v>2.0</v>
      </c>
      <c r="D198" s="66" t="s">
        <v>204</v>
      </c>
      <c r="E198" s="66" t="s">
        <v>58</v>
      </c>
      <c r="F198" s="66">
        <v>3.5892</v>
      </c>
      <c r="G198" s="66">
        <v>1.992</v>
      </c>
      <c r="I198" s="81">
        <f t="shared" si="1"/>
        <v>0.8018072289</v>
      </c>
      <c r="J198" s="81">
        <f t="shared" si="2"/>
        <v>0.5549983283</v>
      </c>
    </row>
    <row r="199">
      <c r="A199" s="82">
        <v>44650.0</v>
      </c>
      <c r="B199" s="66">
        <v>2380.0</v>
      </c>
      <c r="C199" s="66">
        <v>3.0</v>
      </c>
      <c r="D199" s="66" t="s">
        <v>205</v>
      </c>
      <c r="E199" s="66" t="s">
        <v>58</v>
      </c>
      <c r="F199" s="66">
        <v>0.2775</v>
      </c>
      <c r="G199" s="66">
        <v>0.154</v>
      </c>
      <c r="H199" s="66" t="s">
        <v>227</v>
      </c>
      <c r="I199" s="81">
        <f t="shared" si="1"/>
        <v>0.8019480519</v>
      </c>
      <c r="J199" s="81">
        <f t="shared" si="2"/>
        <v>0.554954955</v>
      </c>
    </row>
    <row r="200">
      <c r="A200" s="82">
        <v>44650.0</v>
      </c>
      <c r="B200" s="66">
        <v>2380.0</v>
      </c>
      <c r="C200" s="66">
        <v>3.0</v>
      </c>
      <c r="D200" s="66" t="s">
        <v>204</v>
      </c>
      <c r="E200" s="66">
        <v>1.0</v>
      </c>
      <c r="F200" s="66">
        <v>1.4059</v>
      </c>
      <c r="G200" s="66">
        <v>0.78</v>
      </c>
      <c r="H200" s="66" t="s">
        <v>226</v>
      </c>
      <c r="I200" s="81">
        <f t="shared" si="1"/>
        <v>0.8024358974</v>
      </c>
      <c r="J200" s="81">
        <f t="shared" si="2"/>
        <v>0.5548047514</v>
      </c>
    </row>
    <row r="201">
      <c r="A201" s="82">
        <v>44655.0</v>
      </c>
      <c r="B201" s="66">
        <v>2383.0</v>
      </c>
      <c r="C201" s="66">
        <v>1.0</v>
      </c>
      <c r="D201" s="66" t="s">
        <v>205</v>
      </c>
      <c r="E201" s="66">
        <v>0.0</v>
      </c>
      <c r="F201" s="66">
        <v>0.53</v>
      </c>
      <c r="G201" s="66">
        <v>0.294</v>
      </c>
      <c r="I201" s="81">
        <f t="shared" si="1"/>
        <v>0.8027210884</v>
      </c>
      <c r="J201" s="81">
        <f t="shared" si="2"/>
        <v>0.5547169811</v>
      </c>
    </row>
    <row r="202">
      <c r="A202" s="82">
        <v>44662.0</v>
      </c>
      <c r="B202" s="66">
        <v>2085.0</v>
      </c>
      <c r="C202" s="66">
        <v>1.0</v>
      </c>
      <c r="D202" s="66" t="s">
        <v>205</v>
      </c>
      <c r="E202" s="66">
        <v>0.0</v>
      </c>
      <c r="F202" s="66">
        <v>0.7337</v>
      </c>
      <c r="G202" s="66">
        <v>0.4063</v>
      </c>
      <c r="I202" s="81">
        <f t="shared" si="1"/>
        <v>0.8058085159</v>
      </c>
      <c r="J202" s="81">
        <f t="shared" si="2"/>
        <v>0.5537685703</v>
      </c>
    </row>
    <row r="203">
      <c r="A203" s="82">
        <v>44662.0</v>
      </c>
      <c r="B203" s="66">
        <v>2085.0</v>
      </c>
      <c r="C203" s="66">
        <v>1.0</v>
      </c>
      <c r="D203" s="66" t="s">
        <v>204</v>
      </c>
      <c r="E203" s="66">
        <v>0.0</v>
      </c>
      <c r="F203" s="66">
        <v>0.6483</v>
      </c>
      <c r="G203" s="66">
        <v>0.359</v>
      </c>
      <c r="I203" s="81">
        <f t="shared" si="1"/>
        <v>0.8058495822</v>
      </c>
      <c r="J203" s="81">
        <f t="shared" si="2"/>
        <v>0.5537559772</v>
      </c>
    </row>
    <row r="204">
      <c r="A204" s="82">
        <v>44662.0</v>
      </c>
      <c r="B204" s="66">
        <v>2085.0</v>
      </c>
      <c r="C204" s="66">
        <v>1.0</v>
      </c>
      <c r="D204" s="66" t="s">
        <v>204</v>
      </c>
      <c r="E204" s="66">
        <v>1.0</v>
      </c>
      <c r="F204" s="66">
        <v>0.2042</v>
      </c>
      <c r="G204" s="66">
        <v>0.113</v>
      </c>
      <c r="H204" s="66" t="s">
        <v>226</v>
      </c>
      <c r="I204" s="81">
        <f t="shared" si="1"/>
        <v>0.807079646</v>
      </c>
      <c r="J204" s="81">
        <f t="shared" si="2"/>
        <v>0.5533790402</v>
      </c>
    </row>
    <row r="205">
      <c r="A205" s="82">
        <v>44662.0</v>
      </c>
      <c r="B205" s="66">
        <v>2085.0</v>
      </c>
      <c r="C205" s="66">
        <v>2.0</v>
      </c>
      <c r="D205" s="66" t="s">
        <v>205</v>
      </c>
      <c r="E205" s="66">
        <v>0.0</v>
      </c>
      <c r="F205" s="66">
        <v>0.2122</v>
      </c>
      <c r="G205" s="66">
        <v>0.1174</v>
      </c>
      <c r="H205" s="66" t="s">
        <v>226</v>
      </c>
      <c r="I205" s="81">
        <f t="shared" si="1"/>
        <v>0.8074957411</v>
      </c>
      <c r="J205" s="81">
        <f t="shared" si="2"/>
        <v>0.5532516494</v>
      </c>
    </row>
    <row r="206">
      <c r="A206" s="82">
        <v>44662.0</v>
      </c>
      <c r="B206" s="66">
        <v>2085.0</v>
      </c>
      <c r="C206" s="66">
        <v>2.0</v>
      </c>
      <c r="D206" s="66" t="s">
        <v>204</v>
      </c>
      <c r="E206" s="66">
        <v>0.0</v>
      </c>
      <c r="F206" s="66">
        <v>0.311</v>
      </c>
      <c r="G206" s="66">
        <v>0.172</v>
      </c>
      <c r="H206" s="66" t="s">
        <v>227</v>
      </c>
      <c r="I206" s="81">
        <f t="shared" si="1"/>
        <v>0.8081395349</v>
      </c>
      <c r="J206" s="81">
        <f t="shared" si="2"/>
        <v>0.5530546624</v>
      </c>
    </row>
    <row r="207">
      <c r="A207" s="82">
        <v>44662.0</v>
      </c>
      <c r="B207" s="66">
        <v>2085.0</v>
      </c>
      <c r="C207" s="66">
        <v>2.0</v>
      </c>
      <c r="D207" s="66" t="s">
        <v>204</v>
      </c>
      <c r="E207" s="66">
        <v>1.0</v>
      </c>
      <c r="F207" s="66">
        <v>0.297</v>
      </c>
      <c r="G207" s="66">
        <v>0.1642</v>
      </c>
      <c r="I207" s="81">
        <f t="shared" si="1"/>
        <v>0.8087697929</v>
      </c>
      <c r="J207" s="81">
        <f t="shared" si="2"/>
        <v>0.5528619529</v>
      </c>
    </row>
    <row r="208">
      <c r="A208" s="82">
        <v>44662.0</v>
      </c>
      <c r="B208" s="66">
        <v>2086.0</v>
      </c>
      <c r="C208" s="66">
        <v>1.0</v>
      </c>
      <c r="D208" s="66" t="s">
        <v>204</v>
      </c>
      <c r="E208" s="66">
        <v>0.0</v>
      </c>
      <c r="F208" s="66">
        <v>0.2737</v>
      </c>
      <c r="G208" s="66">
        <v>0.1513</v>
      </c>
      <c r="I208" s="81">
        <f t="shared" si="1"/>
        <v>0.808988764</v>
      </c>
      <c r="J208" s="81">
        <f t="shared" si="2"/>
        <v>0.5527950311</v>
      </c>
    </row>
    <row r="209">
      <c r="A209" s="82">
        <v>44662.0</v>
      </c>
      <c r="B209" s="66">
        <v>2086.0</v>
      </c>
      <c r="C209" s="66">
        <v>1.0</v>
      </c>
      <c r="D209" s="66" t="s">
        <v>204</v>
      </c>
      <c r="E209" s="66">
        <v>1.0</v>
      </c>
      <c r="F209" s="66">
        <v>1.273</v>
      </c>
      <c r="G209" s="66">
        <v>0.703</v>
      </c>
      <c r="H209" s="66" t="s">
        <v>227</v>
      </c>
      <c r="I209" s="81">
        <f t="shared" si="1"/>
        <v>0.8108108108</v>
      </c>
      <c r="J209" s="81">
        <f t="shared" si="2"/>
        <v>0.552238806</v>
      </c>
    </row>
    <row r="210">
      <c r="A210" s="82">
        <v>44662.0</v>
      </c>
      <c r="B210" s="66">
        <v>2086.0</v>
      </c>
      <c r="C210" s="66">
        <v>2.0</v>
      </c>
      <c r="D210" s="66" t="s">
        <v>205</v>
      </c>
      <c r="E210" s="66">
        <v>0.0</v>
      </c>
      <c r="F210" s="66">
        <v>0.9029</v>
      </c>
      <c r="G210" s="66">
        <v>0.498</v>
      </c>
      <c r="H210" s="66" t="s">
        <v>227</v>
      </c>
      <c r="I210" s="81">
        <f t="shared" si="1"/>
        <v>0.8130522088</v>
      </c>
      <c r="J210" s="81">
        <f t="shared" si="2"/>
        <v>0.551556097</v>
      </c>
    </row>
    <row r="211">
      <c r="A211" s="82">
        <v>44662.0</v>
      </c>
      <c r="B211" s="66">
        <v>2086.0</v>
      </c>
      <c r="C211" s="66">
        <v>2.0</v>
      </c>
      <c r="D211" s="66" t="s">
        <v>204</v>
      </c>
      <c r="E211" s="66">
        <v>0.0</v>
      </c>
      <c r="F211" s="66">
        <v>0.9103</v>
      </c>
      <c r="G211" s="66">
        <v>0.502</v>
      </c>
      <c r="I211" s="81">
        <f t="shared" si="1"/>
        <v>0.8133466135</v>
      </c>
      <c r="J211" s="81">
        <f t="shared" si="2"/>
        <v>0.5514665495</v>
      </c>
    </row>
    <row r="212">
      <c r="A212" s="82">
        <v>44662.0</v>
      </c>
      <c r="B212" s="66">
        <v>2087.0</v>
      </c>
      <c r="C212" s="66">
        <v>1.0</v>
      </c>
      <c r="D212" s="66" t="s">
        <v>205</v>
      </c>
      <c r="E212" s="66">
        <v>0.0</v>
      </c>
      <c r="F212" s="66">
        <v>0.2848</v>
      </c>
      <c r="G212" s="66">
        <v>0.157</v>
      </c>
      <c r="H212" s="66" t="s">
        <v>226</v>
      </c>
      <c r="I212" s="81">
        <f t="shared" si="1"/>
        <v>0.8140127389</v>
      </c>
      <c r="J212" s="81">
        <f t="shared" si="2"/>
        <v>0.5512640449</v>
      </c>
    </row>
    <row r="213">
      <c r="A213" s="82">
        <v>44662.0</v>
      </c>
      <c r="B213" s="66">
        <v>2087.0</v>
      </c>
      <c r="C213" s="66">
        <v>1.0</v>
      </c>
      <c r="D213" s="66" t="s">
        <v>204</v>
      </c>
      <c r="E213" s="66">
        <v>0.0</v>
      </c>
      <c r="F213" s="66">
        <v>1.212</v>
      </c>
      <c r="G213" s="66">
        <v>0.668</v>
      </c>
      <c r="H213" s="66" t="s">
        <v>227</v>
      </c>
      <c r="I213" s="81">
        <f t="shared" si="1"/>
        <v>0.8143712575</v>
      </c>
      <c r="J213" s="81">
        <f t="shared" si="2"/>
        <v>0.5511551155</v>
      </c>
    </row>
    <row r="214">
      <c r="A214" s="82">
        <v>44662.0</v>
      </c>
      <c r="B214" s="66">
        <v>2087.0</v>
      </c>
      <c r="C214" s="66">
        <v>1.0</v>
      </c>
      <c r="D214" s="66" t="s">
        <v>204</v>
      </c>
      <c r="E214" s="66">
        <v>1.0</v>
      </c>
      <c r="F214" s="66">
        <v>0.098</v>
      </c>
      <c r="G214" s="66">
        <v>0.054</v>
      </c>
      <c r="I214" s="81">
        <f t="shared" si="1"/>
        <v>0.8148148148</v>
      </c>
      <c r="J214" s="81">
        <f t="shared" si="2"/>
        <v>0.5510204082</v>
      </c>
    </row>
    <row r="215">
      <c r="A215" s="82">
        <v>44662.0</v>
      </c>
      <c r="B215" s="66">
        <v>2088.0</v>
      </c>
      <c r="C215" s="66">
        <v>1.0</v>
      </c>
      <c r="D215" s="66" t="s">
        <v>205</v>
      </c>
      <c r="E215" s="66">
        <v>0.0</v>
      </c>
      <c r="F215" s="66">
        <v>2.8668</v>
      </c>
      <c r="G215" s="66">
        <v>1.5796</v>
      </c>
      <c r="I215" s="81">
        <f t="shared" si="1"/>
        <v>0.8148898455</v>
      </c>
      <c r="J215" s="81">
        <f t="shared" si="2"/>
        <v>0.550997628</v>
      </c>
    </row>
    <row r="216">
      <c r="A216" s="82">
        <v>44662.0</v>
      </c>
      <c r="B216" s="66">
        <v>2088.0</v>
      </c>
      <c r="C216" s="66">
        <v>1.0</v>
      </c>
      <c r="D216" s="66" t="s">
        <v>205</v>
      </c>
      <c r="E216" s="66">
        <v>0.0</v>
      </c>
      <c r="F216" s="66">
        <v>1.0126</v>
      </c>
      <c r="G216" s="66">
        <v>0.5578</v>
      </c>
      <c r="H216" s="66" t="s">
        <v>230</v>
      </c>
      <c r="I216" s="81">
        <f t="shared" si="1"/>
        <v>0.8153460022</v>
      </c>
      <c r="J216" s="81">
        <f t="shared" si="2"/>
        <v>0.5508591744</v>
      </c>
    </row>
    <row r="217">
      <c r="A217" s="82">
        <v>44662.0</v>
      </c>
      <c r="B217" s="66">
        <v>2088.0</v>
      </c>
      <c r="C217" s="66">
        <v>1.0</v>
      </c>
      <c r="D217" s="66" t="s">
        <v>204</v>
      </c>
      <c r="E217" s="66">
        <v>0.0</v>
      </c>
      <c r="F217" s="66">
        <v>0.3504</v>
      </c>
      <c r="G217" s="66">
        <v>0.193</v>
      </c>
      <c r="I217" s="81">
        <f t="shared" si="1"/>
        <v>0.8155440415</v>
      </c>
      <c r="J217" s="81">
        <f t="shared" si="2"/>
        <v>0.5507990868</v>
      </c>
    </row>
    <row r="218">
      <c r="A218" s="82">
        <v>44662.0</v>
      </c>
      <c r="B218" s="66">
        <v>2088.0</v>
      </c>
      <c r="C218" s="66">
        <v>1.0</v>
      </c>
      <c r="D218" s="66" t="s">
        <v>204</v>
      </c>
      <c r="E218" s="66">
        <v>0.0</v>
      </c>
      <c r="F218" s="66">
        <v>0.3102</v>
      </c>
      <c r="G218" s="66">
        <v>0.1708</v>
      </c>
      <c r="I218" s="81">
        <f t="shared" si="1"/>
        <v>0.8161592506</v>
      </c>
      <c r="J218" s="81">
        <f t="shared" si="2"/>
        <v>0.5506125081</v>
      </c>
    </row>
    <row r="219">
      <c r="A219" s="82">
        <v>44662.0</v>
      </c>
      <c r="B219" s="66">
        <v>2088.0</v>
      </c>
      <c r="C219" s="66">
        <v>2.0</v>
      </c>
      <c r="D219" s="66" t="s">
        <v>205</v>
      </c>
      <c r="E219" s="66">
        <v>0.0</v>
      </c>
      <c r="F219" s="66">
        <v>0.1546</v>
      </c>
      <c r="G219" s="66">
        <v>0.0851</v>
      </c>
      <c r="H219" s="66" t="s">
        <v>230</v>
      </c>
      <c r="I219" s="81">
        <f t="shared" si="1"/>
        <v>0.8166862515</v>
      </c>
      <c r="J219" s="81">
        <f t="shared" si="2"/>
        <v>0.5504527814</v>
      </c>
    </row>
    <row r="220">
      <c r="A220" s="82">
        <v>44662.0</v>
      </c>
      <c r="B220" s="66">
        <v>2088.0</v>
      </c>
      <c r="C220" s="66">
        <v>2.0</v>
      </c>
      <c r="D220" s="66" t="s">
        <v>204</v>
      </c>
      <c r="E220" s="66">
        <v>0.0</v>
      </c>
      <c r="F220" s="66">
        <v>1.7716</v>
      </c>
      <c r="G220" s="66">
        <v>0.9747</v>
      </c>
      <c r="H220" s="66" t="s">
        <v>230</v>
      </c>
      <c r="I220" s="81">
        <f t="shared" si="1"/>
        <v>0.8175848979</v>
      </c>
      <c r="J220" s="81">
        <f t="shared" si="2"/>
        <v>0.5501806277</v>
      </c>
    </row>
    <row r="221">
      <c r="A221" s="82">
        <v>44662.0</v>
      </c>
      <c r="B221" s="66">
        <v>2088.0</v>
      </c>
      <c r="C221" s="66">
        <v>2.0</v>
      </c>
      <c r="D221" s="66" t="s">
        <v>204</v>
      </c>
      <c r="E221" s="66">
        <v>1.0</v>
      </c>
      <c r="F221" s="66">
        <v>0.0818</v>
      </c>
      <c r="G221" s="66">
        <v>0.045</v>
      </c>
      <c r="I221" s="81">
        <f t="shared" si="1"/>
        <v>0.8177777778</v>
      </c>
      <c r="J221" s="81">
        <f t="shared" si="2"/>
        <v>0.5501222494</v>
      </c>
    </row>
    <row r="222">
      <c r="A222" s="82">
        <v>44662.0</v>
      </c>
      <c r="B222" s="66">
        <v>2089.0</v>
      </c>
      <c r="C222" s="66">
        <v>1.0</v>
      </c>
      <c r="D222" s="66" t="s">
        <v>205</v>
      </c>
      <c r="E222" s="66">
        <v>0.0</v>
      </c>
      <c r="F222" s="66">
        <v>0.02</v>
      </c>
      <c r="G222" s="66">
        <v>0.011</v>
      </c>
      <c r="H222" s="66" t="s">
        <v>227</v>
      </c>
      <c r="I222" s="81">
        <f t="shared" si="1"/>
        <v>0.8181818182</v>
      </c>
      <c r="J222" s="81">
        <f t="shared" si="2"/>
        <v>0.55</v>
      </c>
    </row>
    <row r="223">
      <c r="A223" s="82">
        <v>44662.0</v>
      </c>
      <c r="B223" s="66">
        <v>2089.0</v>
      </c>
      <c r="C223" s="66">
        <v>1.0</v>
      </c>
      <c r="D223" s="66" t="s">
        <v>205</v>
      </c>
      <c r="E223" s="66">
        <v>0.0</v>
      </c>
      <c r="F223" s="66">
        <v>1.5564</v>
      </c>
      <c r="G223" s="66">
        <v>0.856</v>
      </c>
      <c r="I223" s="81">
        <f t="shared" si="1"/>
        <v>0.8182242991</v>
      </c>
      <c r="J223" s="81">
        <f t="shared" si="2"/>
        <v>0.5499871498</v>
      </c>
    </row>
    <row r="224">
      <c r="A224" s="82">
        <v>44662.0</v>
      </c>
      <c r="B224" s="66">
        <v>2089.0</v>
      </c>
      <c r="C224" s="66">
        <v>1.0</v>
      </c>
      <c r="D224" s="66" t="s">
        <v>204</v>
      </c>
      <c r="E224" s="66">
        <v>1.0</v>
      </c>
      <c r="F224" s="66">
        <v>0.0982</v>
      </c>
      <c r="G224" s="66">
        <v>0.054</v>
      </c>
      <c r="H224" s="66" t="s">
        <v>230</v>
      </c>
      <c r="I224" s="81">
        <f t="shared" si="1"/>
        <v>0.8185185185</v>
      </c>
      <c r="J224" s="81">
        <f t="shared" si="2"/>
        <v>0.549898167</v>
      </c>
    </row>
    <row r="225">
      <c r="A225" s="82">
        <v>44662.0</v>
      </c>
      <c r="B225" s="66">
        <v>2089.0</v>
      </c>
      <c r="C225" s="66">
        <v>2.0</v>
      </c>
      <c r="D225" s="66" t="s">
        <v>205</v>
      </c>
      <c r="E225" s="66">
        <v>1.0</v>
      </c>
      <c r="F225" s="66">
        <v>0.9488</v>
      </c>
      <c r="G225" s="66">
        <v>0.5214</v>
      </c>
      <c r="I225" s="81">
        <f t="shared" si="1"/>
        <v>0.8197161488</v>
      </c>
      <c r="J225" s="81">
        <f t="shared" si="2"/>
        <v>0.5495362563</v>
      </c>
    </row>
    <row r="226">
      <c r="A226" s="82">
        <v>44662.0</v>
      </c>
      <c r="B226" s="66">
        <v>2089.0</v>
      </c>
      <c r="C226" s="66">
        <v>2.0</v>
      </c>
      <c r="D226" s="66" t="s">
        <v>204</v>
      </c>
      <c r="E226" s="66">
        <v>0.0</v>
      </c>
      <c r="F226" s="66">
        <v>1.29</v>
      </c>
      <c r="G226" s="66">
        <v>0.7086</v>
      </c>
      <c r="I226" s="81">
        <f t="shared" si="1"/>
        <v>0.8204911092</v>
      </c>
      <c r="J226" s="81">
        <f t="shared" si="2"/>
        <v>0.5493023256</v>
      </c>
    </row>
    <row r="227">
      <c r="A227" s="82">
        <v>44662.0</v>
      </c>
      <c r="B227" s="66">
        <v>2089.0</v>
      </c>
      <c r="C227" s="66">
        <v>2.0</v>
      </c>
      <c r="D227" s="66" t="s">
        <v>204</v>
      </c>
      <c r="E227" s="66">
        <v>0.0</v>
      </c>
      <c r="F227" s="66">
        <v>0.3259</v>
      </c>
      <c r="G227" s="66">
        <v>0.179</v>
      </c>
      <c r="I227" s="81">
        <f t="shared" si="1"/>
        <v>0.8206703911</v>
      </c>
      <c r="J227" s="81">
        <f t="shared" si="2"/>
        <v>0.5492482357</v>
      </c>
    </row>
    <row r="228">
      <c r="A228" s="82">
        <v>44662.0</v>
      </c>
      <c r="B228" s="66">
        <v>2089.0</v>
      </c>
      <c r="C228" s="66">
        <v>2.0</v>
      </c>
      <c r="D228" s="66" t="s">
        <v>204</v>
      </c>
      <c r="E228" s="66">
        <v>0.0</v>
      </c>
      <c r="F228" s="66">
        <v>0.3296</v>
      </c>
      <c r="G228" s="66">
        <v>0.181</v>
      </c>
      <c r="H228" s="66" t="s">
        <v>227</v>
      </c>
      <c r="I228" s="81">
        <f t="shared" si="1"/>
        <v>0.8209944751</v>
      </c>
      <c r="J228" s="81">
        <f t="shared" si="2"/>
        <v>0.5491504854</v>
      </c>
    </row>
    <row r="229">
      <c r="A229" s="82">
        <v>44662.0</v>
      </c>
      <c r="B229" s="66">
        <v>2089.0</v>
      </c>
      <c r="C229" s="66">
        <v>2.0</v>
      </c>
      <c r="D229" s="66" t="s">
        <v>204</v>
      </c>
      <c r="E229" s="66">
        <v>1.0</v>
      </c>
      <c r="F229" s="66">
        <v>0.173</v>
      </c>
      <c r="G229" s="66">
        <v>0.095</v>
      </c>
      <c r="H229" s="66" t="s">
        <v>227</v>
      </c>
      <c r="I229" s="81">
        <f t="shared" si="1"/>
        <v>0.8210526316</v>
      </c>
      <c r="J229" s="81">
        <f t="shared" si="2"/>
        <v>0.549132948</v>
      </c>
    </row>
    <row r="230">
      <c r="A230" s="82">
        <v>44662.0</v>
      </c>
      <c r="B230" s="66">
        <v>2090.0</v>
      </c>
      <c r="C230" s="66">
        <v>1.0</v>
      </c>
      <c r="D230" s="66" t="s">
        <v>205</v>
      </c>
      <c r="E230" s="66">
        <v>0.0</v>
      </c>
      <c r="F230" s="66">
        <v>0.2772</v>
      </c>
      <c r="G230" s="66">
        <v>0.1522</v>
      </c>
      <c r="I230" s="81">
        <f t="shared" si="1"/>
        <v>0.8212877792</v>
      </c>
      <c r="J230" s="81">
        <f t="shared" si="2"/>
        <v>0.5490620491</v>
      </c>
    </row>
    <row r="231">
      <c r="A231" s="82">
        <v>44662.0</v>
      </c>
      <c r="B231" s="66">
        <v>2090.0</v>
      </c>
      <c r="C231" s="66">
        <v>1.0</v>
      </c>
      <c r="D231" s="66" t="s">
        <v>204</v>
      </c>
      <c r="E231" s="66">
        <v>0.0</v>
      </c>
      <c r="F231" s="66">
        <v>0.53</v>
      </c>
      <c r="G231" s="66">
        <v>0.291</v>
      </c>
      <c r="H231" s="66" t="s">
        <v>227</v>
      </c>
      <c r="I231" s="81">
        <f t="shared" si="1"/>
        <v>0.8213058419</v>
      </c>
      <c r="J231" s="81">
        <f t="shared" si="2"/>
        <v>0.5490566038</v>
      </c>
    </row>
    <row r="232">
      <c r="A232" s="82">
        <v>44662.0</v>
      </c>
      <c r="B232" s="66">
        <v>2090.0</v>
      </c>
      <c r="C232" s="66">
        <v>1.0</v>
      </c>
      <c r="D232" s="66" t="s">
        <v>204</v>
      </c>
      <c r="E232" s="66">
        <v>1.0</v>
      </c>
      <c r="F232" s="66">
        <v>0.4603</v>
      </c>
      <c r="G232" s="66">
        <v>0.2527</v>
      </c>
      <c r="H232" s="66" t="s">
        <v>226</v>
      </c>
      <c r="I232" s="81">
        <f t="shared" si="1"/>
        <v>0.821527503</v>
      </c>
      <c r="J232" s="81">
        <f t="shared" si="2"/>
        <v>0.5489897893</v>
      </c>
    </row>
    <row r="233">
      <c r="A233" s="82">
        <v>44662.0</v>
      </c>
      <c r="B233" s="66">
        <v>2091.0</v>
      </c>
      <c r="C233" s="66">
        <v>1.0</v>
      </c>
      <c r="D233" s="66" t="s">
        <v>205</v>
      </c>
      <c r="E233" s="66">
        <v>1.0</v>
      </c>
      <c r="F233" s="66">
        <v>0.7293</v>
      </c>
      <c r="G233" s="66">
        <v>0.3999</v>
      </c>
      <c r="H233" s="66" t="s">
        <v>230</v>
      </c>
      <c r="I233" s="81">
        <f t="shared" si="1"/>
        <v>0.8237059265</v>
      </c>
      <c r="J233" s="81">
        <f t="shared" si="2"/>
        <v>0.5483340189</v>
      </c>
    </row>
    <row r="234">
      <c r="A234" s="82">
        <v>44662.0</v>
      </c>
      <c r="B234" s="66">
        <v>2091.0</v>
      </c>
      <c r="C234" s="66">
        <v>1.0</v>
      </c>
      <c r="D234" s="66" t="s">
        <v>204</v>
      </c>
      <c r="E234" s="66">
        <v>0.0</v>
      </c>
      <c r="F234" s="66">
        <v>1.0405</v>
      </c>
      <c r="G234" s="66">
        <v>0.5704</v>
      </c>
      <c r="H234" s="66" t="s">
        <v>230</v>
      </c>
      <c r="I234" s="81">
        <f t="shared" si="1"/>
        <v>0.8241584853</v>
      </c>
      <c r="J234" s="81">
        <f t="shared" si="2"/>
        <v>0.5481979817</v>
      </c>
    </row>
    <row r="235">
      <c r="A235" s="82">
        <v>44662.0</v>
      </c>
      <c r="B235" s="66">
        <v>2091.0</v>
      </c>
      <c r="C235" s="66">
        <v>2.0</v>
      </c>
      <c r="D235" s="66" t="s">
        <v>204</v>
      </c>
      <c r="E235" s="66">
        <v>1.0</v>
      </c>
      <c r="F235" s="66">
        <v>0.11</v>
      </c>
      <c r="G235" s="66">
        <v>0.0603</v>
      </c>
      <c r="I235" s="81">
        <f t="shared" si="1"/>
        <v>0.824212272</v>
      </c>
      <c r="J235" s="81">
        <f t="shared" si="2"/>
        <v>0.5481818182</v>
      </c>
    </row>
    <row r="236">
      <c r="A236" s="82">
        <v>44662.0</v>
      </c>
      <c r="B236" s="66">
        <v>2091.0</v>
      </c>
      <c r="C236" s="66">
        <v>2.0</v>
      </c>
      <c r="D236" s="66" t="s">
        <v>204</v>
      </c>
      <c r="E236" s="66">
        <v>1.0</v>
      </c>
      <c r="F236" s="66">
        <v>0.2038</v>
      </c>
      <c r="G236" s="66">
        <v>0.1116</v>
      </c>
      <c r="I236" s="81">
        <f t="shared" si="1"/>
        <v>0.8261648746</v>
      </c>
      <c r="J236" s="81">
        <f t="shared" si="2"/>
        <v>0.547595682</v>
      </c>
    </row>
    <row r="237">
      <c r="A237" s="82">
        <v>44662.0</v>
      </c>
      <c r="B237" s="66">
        <v>2092.0</v>
      </c>
      <c r="C237" s="66">
        <v>1.0</v>
      </c>
      <c r="D237" s="66" t="s">
        <v>205</v>
      </c>
      <c r="E237" s="66">
        <v>1.0</v>
      </c>
      <c r="F237" s="66">
        <v>0.61</v>
      </c>
      <c r="G237" s="66">
        <v>0.334</v>
      </c>
      <c r="H237" s="66" t="s">
        <v>227</v>
      </c>
      <c r="I237" s="81">
        <f t="shared" si="1"/>
        <v>0.8263473054</v>
      </c>
      <c r="J237" s="81">
        <f t="shared" si="2"/>
        <v>0.5475409836</v>
      </c>
    </row>
    <row r="238">
      <c r="A238" s="82">
        <v>44662.0</v>
      </c>
      <c r="B238" s="66">
        <v>2092.0</v>
      </c>
      <c r="C238" s="66">
        <v>2.0</v>
      </c>
      <c r="D238" s="66" t="s">
        <v>204</v>
      </c>
      <c r="E238" s="66">
        <v>0.0</v>
      </c>
      <c r="F238" s="66">
        <v>0.3142</v>
      </c>
      <c r="G238" s="66">
        <v>0.1719</v>
      </c>
      <c r="I238" s="81">
        <f t="shared" si="1"/>
        <v>0.8278068645</v>
      </c>
      <c r="J238" s="81">
        <f t="shared" si="2"/>
        <v>0.5471037556</v>
      </c>
    </row>
    <row r="239">
      <c r="A239" s="82">
        <v>44662.0</v>
      </c>
      <c r="B239" s="66">
        <v>2092.0</v>
      </c>
      <c r="C239" s="66">
        <v>2.0</v>
      </c>
      <c r="D239" s="66" t="s">
        <v>204</v>
      </c>
      <c r="E239" s="66">
        <v>1.0</v>
      </c>
      <c r="F239" s="66">
        <v>0.4113</v>
      </c>
      <c r="G239" s="66">
        <v>0.225</v>
      </c>
      <c r="I239" s="81">
        <f t="shared" si="1"/>
        <v>0.828</v>
      </c>
      <c r="J239" s="81">
        <f t="shared" si="2"/>
        <v>0.5470459519</v>
      </c>
    </row>
    <row r="240">
      <c r="A240" s="82">
        <v>44662.0</v>
      </c>
      <c r="B240" s="66">
        <v>2093.0</v>
      </c>
      <c r="C240" s="66">
        <v>1.0</v>
      </c>
      <c r="D240" s="66" t="s">
        <v>205</v>
      </c>
      <c r="E240" s="66">
        <v>1.0</v>
      </c>
      <c r="F240" s="66">
        <v>0.7331</v>
      </c>
      <c r="G240" s="66">
        <v>0.401</v>
      </c>
      <c r="H240" s="66" t="s">
        <v>230</v>
      </c>
      <c r="I240" s="81">
        <f t="shared" si="1"/>
        <v>0.8281795511</v>
      </c>
      <c r="J240" s="81">
        <f t="shared" si="2"/>
        <v>0.5469922248</v>
      </c>
    </row>
    <row r="241">
      <c r="A241" s="82">
        <v>44662.0</v>
      </c>
      <c r="B241" s="66">
        <v>2093.0</v>
      </c>
      <c r="C241" s="66">
        <v>1.0</v>
      </c>
      <c r="D241" s="66" t="s">
        <v>204</v>
      </c>
      <c r="E241" s="66">
        <v>1.0</v>
      </c>
      <c r="F241" s="66">
        <v>3.231</v>
      </c>
      <c r="G241" s="66">
        <v>1.766</v>
      </c>
      <c r="H241" s="66" t="s">
        <v>227</v>
      </c>
      <c r="I241" s="81">
        <f t="shared" si="1"/>
        <v>0.8295583239</v>
      </c>
      <c r="J241" s="81">
        <f t="shared" si="2"/>
        <v>0.5465800062</v>
      </c>
    </row>
    <row r="242">
      <c r="A242" s="82">
        <v>44662.0</v>
      </c>
      <c r="B242" s="66">
        <v>2093.0</v>
      </c>
      <c r="C242" s="66">
        <v>2.0</v>
      </c>
      <c r="D242" s="66" t="s">
        <v>205</v>
      </c>
      <c r="E242" s="66">
        <v>0.0</v>
      </c>
      <c r="F242" s="66">
        <v>0.3717</v>
      </c>
      <c r="G242" s="66">
        <v>0.203</v>
      </c>
      <c r="H242" s="66" t="s">
        <v>226</v>
      </c>
      <c r="I242" s="81">
        <f t="shared" si="1"/>
        <v>0.8310344828</v>
      </c>
      <c r="J242" s="81">
        <f t="shared" si="2"/>
        <v>0.5461393597</v>
      </c>
    </row>
    <row r="243">
      <c r="A243" s="82">
        <v>44662.0</v>
      </c>
      <c r="B243" s="66">
        <v>2093.0</v>
      </c>
      <c r="C243" s="66">
        <v>2.0</v>
      </c>
      <c r="D243" s="66" t="s">
        <v>204</v>
      </c>
      <c r="E243" s="66">
        <v>0.0</v>
      </c>
      <c r="F243" s="66">
        <v>0.3527</v>
      </c>
      <c r="G243" s="66">
        <v>0.1926</v>
      </c>
      <c r="H243" s="66" t="s">
        <v>230</v>
      </c>
      <c r="I243" s="81">
        <f t="shared" si="1"/>
        <v>0.8312564901</v>
      </c>
      <c r="J243" s="81">
        <f t="shared" si="2"/>
        <v>0.54607315</v>
      </c>
    </row>
    <row r="244">
      <c r="A244" s="82">
        <v>44662.0</v>
      </c>
      <c r="B244" s="66">
        <v>2093.0</v>
      </c>
      <c r="C244" s="66">
        <v>2.0</v>
      </c>
      <c r="D244" s="66" t="s">
        <v>204</v>
      </c>
      <c r="E244" s="66">
        <v>1.0</v>
      </c>
      <c r="F244" s="66">
        <v>0.1664</v>
      </c>
      <c r="G244" s="66">
        <v>0.0908</v>
      </c>
      <c r="H244" s="66" t="s">
        <v>226</v>
      </c>
      <c r="I244" s="81">
        <f t="shared" si="1"/>
        <v>0.8325991189</v>
      </c>
      <c r="J244" s="81">
        <f t="shared" si="2"/>
        <v>0.5456730769</v>
      </c>
    </row>
    <row r="245">
      <c r="A245" s="82">
        <v>44663.0</v>
      </c>
      <c r="B245" s="66">
        <v>2009.0</v>
      </c>
      <c r="C245" s="66">
        <v>1.0</v>
      </c>
      <c r="D245" s="66" t="s">
        <v>205</v>
      </c>
      <c r="E245" s="66">
        <v>0.0</v>
      </c>
      <c r="F245" s="66">
        <v>0.3887</v>
      </c>
      <c r="G245" s="66">
        <v>0.2121</v>
      </c>
      <c r="I245" s="81">
        <f t="shared" si="1"/>
        <v>0.8326261198</v>
      </c>
      <c r="J245" s="81">
        <f t="shared" si="2"/>
        <v>0.5456650373</v>
      </c>
    </row>
    <row r="246">
      <c r="A246" s="82">
        <v>44663.0</v>
      </c>
      <c r="B246" s="66">
        <v>2009.0</v>
      </c>
      <c r="C246" s="66">
        <v>1.0</v>
      </c>
      <c r="D246" s="66" t="s">
        <v>204</v>
      </c>
      <c r="E246" s="66">
        <v>0.0</v>
      </c>
      <c r="F246" s="66">
        <v>1.0302</v>
      </c>
      <c r="G246" s="66">
        <v>0.562</v>
      </c>
      <c r="I246" s="81">
        <f t="shared" si="1"/>
        <v>0.8330960854</v>
      </c>
      <c r="J246" s="81">
        <f t="shared" si="2"/>
        <v>0.5455251407</v>
      </c>
    </row>
    <row r="247">
      <c r="A247" s="82">
        <v>44663.0</v>
      </c>
      <c r="B247" s="66">
        <v>2009.0</v>
      </c>
      <c r="C247" s="66">
        <v>2.0</v>
      </c>
      <c r="D247" s="66" t="s">
        <v>205</v>
      </c>
      <c r="E247" s="66">
        <v>0.0</v>
      </c>
      <c r="F247" s="66">
        <v>0.8859</v>
      </c>
      <c r="G247" s="66">
        <v>0.483</v>
      </c>
      <c r="I247" s="81">
        <f t="shared" si="1"/>
        <v>0.8341614907</v>
      </c>
      <c r="J247" s="81">
        <f t="shared" si="2"/>
        <v>0.5452082628</v>
      </c>
    </row>
    <row r="248">
      <c r="A248" s="82">
        <v>44663.0</v>
      </c>
      <c r="B248" s="66">
        <v>2009.0</v>
      </c>
      <c r="C248" s="66">
        <v>2.0</v>
      </c>
      <c r="D248" s="66" t="s">
        <v>204</v>
      </c>
      <c r="E248" s="66">
        <v>0.0</v>
      </c>
      <c r="F248" s="66">
        <v>0.0587</v>
      </c>
      <c r="G248" s="66">
        <v>0.032</v>
      </c>
      <c r="H248" s="66" t="s">
        <v>230</v>
      </c>
      <c r="I248" s="81">
        <f t="shared" si="1"/>
        <v>0.834375</v>
      </c>
      <c r="J248" s="81">
        <f t="shared" si="2"/>
        <v>0.5451448041</v>
      </c>
    </row>
    <row r="249">
      <c r="A249" s="82">
        <v>44663.0</v>
      </c>
      <c r="B249" s="66">
        <v>2009.0</v>
      </c>
      <c r="C249" s="66">
        <v>3.0</v>
      </c>
      <c r="D249" s="66" t="s">
        <v>205</v>
      </c>
      <c r="E249" s="66">
        <v>0.0</v>
      </c>
      <c r="F249" s="66">
        <v>0.196</v>
      </c>
      <c r="G249" s="66">
        <v>0.1068</v>
      </c>
      <c r="I249" s="81">
        <f t="shared" si="1"/>
        <v>0.8352059925</v>
      </c>
      <c r="J249" s="81">
        <f t="shared" si="2"/>
        <v>0.5448979592</v>
      </c>
    </row>
    <row r="250">
      <c r="A250" s="82">
        <v>44663.0</v>
      </c>
      <c r="B250" s="66">
        <v>2009.0</v>
      </c>
      <c r="C250" s="66">
        <v>3.0</v>
      </c>
      <c r="D250" s="66" t="s">
        <v>204</v>
      </c>
      <c r="E250" s="66">
        <v>0.0</v>
      </c>
      <c r="F250" s="66">
        <v>0.969</v>
      </c>
      <c r="G250" s="66">
        <v>0.528</v>
      </c>
      <c r="H250" s="66" t="s">
        <v>227</v>
      </c>
      <c r="I250" s="81">
        <f t="shared" si="1"/>
        <v>0.8352272727</v>
      </c>
      <c r="J250" s="81">
        <f t="shared" si="2"/>
        <v>0.5448916409</v>
      </c>
    </row>
    <row r="251">
      <c r="A251" s="82">
        <v>44663.0</v>
      </c>
      <c r="B251" s="66">
        <v>2331.0</v>
      </c>
      <c r="C251" s="66">
        <v>1.0</v>
      </c>
      <c r="D251" s="66" t="s">
        <v>205</v>
      </c>
      <c r="E251" s="66">
        <v>1.0</v>
      </c>
      <c r="F251" s="66">
        <v>0.4173</v>
      </c>
      <c r="G251" s="66">
        <v>0.2272</v>
      </c>
      <c r="H251" s="66" t="s">
        <v>230</v>
      </c>
      <c r="I251" s="81">
        <f t="shared" si="1"/>
        <v>0.8367077465</v>
      </c>
      <c r="J251" s="81">
        <f t="shared" si="2"/>
        <v>0.5444524323</v>
      </c>
    </row>
    <row r="252">
      <c r="A252" s="82">
        <v>44663.0</v>
      </c>
      <c r="B252" s="66">
        <v>2331.0</v>
      </c>
      <c r="C252" s="66">
        <v>1.0</v>
      </c>
      <c r="D252" s="66" t="s">
        <v>205</v>
      </c>
      <c r="E252" s="66">
        <v>1.0</v>
      </c>
      <c r="F252" s="66">
        <v>0.2886</v>
      </c>
      <c r="G252" s="66">
        <v>0.1571</v>
      </c>
      <c r="I252" s="81">
        <f t="shared" si="1"/>
        <v>0.8370464672</v>
      </c>
      <c r="J252" s="81">
        <f t="shared" si="2"/>
        <v>0.5443520444</v>
      </c>
    </row>
    <row r="253">
      <c r="A253" s="82">
        <v>44663.0</v>
      </c>
      <c r="B253" s="66">
        <v>2331.0</v>
      </c>
      <c r="C253" s="66">
        <v>1.0</v>
      </c>
      <c r="D253" s="66" t="s">
        <v>204</v>
      </c>
      <c r="E253" s="66">
        <v>0.0</v>
      </c>
      <c r="F253" s="66">
        <v>1.1281</v>
      </c>
      <c r="G253" s="66">
        <v>0.614</v>
      </c>
      <c r="H253" s="66" t="s">
        <v>227</v>
      </c>
      <c r="I253" s="81">
        <f t="shared" si="1"/>
        <v>0.8372964169</v>
      </c>
      <c r="J253" s="81">
        <f t="shared" si="2"/>
        <v>0.5442779895</v>
      </c>
    </row>
    <row r="254">
      <c r="A254" s="82">
        <v>44663.0</v>
      </c>
      <c r="B254" s="66">
        <v>2331.0</v>
      </c>
      <c r="C254" s="66">
        <v>1.0</v>
      </c>
      <c r="D254" s="66" t="s">
        <v>204</v>
      </c>
      <c r="E254" s="66">
        <v>1.0</v>
      </c>
      <c r="F254" s="66">
        <v>0.522</v>
      </c>
      <c r="G254" s="66">
        <v>0.284</v>
      </c>
      <c r="H254" s="66" t="s">
        <v>227</v>
      </c>
      <c r="I254" s="81">
        <f t="shared" si="1"/>
        <v>0.838028169</v>
      </c>
      <c r="J254" s="81">
        <f t="shared" si="2"/>
        <v>0.5440613027</v>
      </c>
    </row>
    <row r="255">
      <c r="A255" s="82">
        <v>44663.0</v>
      </c>
      <c r="B255" s="66">
        <v>2331.0</v>
      </c>
      <c r="C255" s="66">
        <v>1.0</v>
      </c>
      <c r="D255" s="66" t="s">
        <v>204</v>
      </c>
      <c r="E255" s="66">
        <v>1.0</v>
      </c>
      <c r="F255" s="66">
        <v>0.4021</v>
      </c>
      <c r="G255" s="66">
        <v>0.2187</v>
      </c>
      <c r="I255" s="81">
        <f t="shared" si="1"/>
        <v>0.8385916781</v>
      </c>
      <c r="J255" s="81">
        <f t="shared" si="2"/>
        <v>0.5438945536</v>
      </c>
    </row>
    <row r="256">
      <c r="A256" s="82">
        <v>44663.0</v>
      </c>
      <c r="B256" s="66">
        <v>2331.0</v>
      </c>
      <c r="C256" s="66">
        <v>2.0</v>
      </c>
      <c r="D256" s="66" t="s">
        <v>205</v>
      </c>
      <c r="E256" s="66">
        <v>1.0</v>
      </c>
      <c r="F256" s="66">
        <v>0.1061</v>
      </c>
      <c r="G256" s="66">
        <v>0.0577</v>
      </c>
      <c r="H256" s="66" t="s">
        <v>226</v>
      </c>
      <c r="I256" s="81">
        <f t="shared" si="1"/>
        <v>0.8388214905</v>
      </c>
      <c r="J256" s="81">
        <f t="shared" si="2"/>
        <v>0.5438265787</v>
      </c>
    </row>
    <row r="257">
      <c r="A257" s="82">
        <v>44663.0</v>
      </c>
      <c r="B257" s="66">
        <v>2331.0</v>
      </c>
      <c r="C257" s="66">
        <v>2.0</v>
      </c>
      <c r="D257" s="66" t="s">
        <v>205</v>
      </c>
      <c r="E257" s="66">
        <v>1.0</v>
      </c>
      <c r="F257" s="66">
        <v>1.1275</v>
      </c>
      <c r="G257" s="66">
        <v>0.613</v>
      </c>
      <c r="H257" s="66" t="s">
        <v>227</v>
      </c>
      <c r="I257" s="81">
        <f t="shared" si="1"/>
        <v>0.839314845</v>
      </c>
      <c r="J257" s="81">
        <f t="shared" si="2"/>
        <v>0.5436807095</v>
      </c>
    </row>
    <row r="258">
      <c r="A258" s="82">
        <v>44663.0</v>
      </c>
      <c r="B258" s="66">
        <v>2331.0</v>
      </c>
      <c r="C258" s="66">
        <v>2.0</v>
      </c>
      <c r="D258" s="66" t="s">
        <v>204</v>
      </c>
      <c r="E258" s="66">
        <v>1.0</v>
      </c>
      <c r="F258" s="66">
        <v>1.8023</v>
      </c>
      <c r="G258" s="66">
        <v>0.9798</v>
      </c>
      <c r="H258" s="66" t="s">
        <v>230</v>
      </c>
      <c r="I258" s="81">
        <f t="shared" si="1"/>
        <v>0.839457032</v>
      </c>
      <c r="J258" s="81">
        <f t="shared" si="2"/>
        <v>0.5436386839</v>
      </c>
    </row>
    <row r="259">
      <c r="A259" s="82">
        <v>44663.0</v>
      </c>
      <c r="B259" s="66">
        <v>2331.0</v>
      </c>
      <c r="C259" s="66">
        <v>2.0</v>
      </c>
      <c r="D259" s="66" t="s">
        <v>204</v>
      </c>
      <c r="E259" s="66">
        <v>1.0</v>
      </c>
      <c r="F259" s="66">
        <v>0.563</v>
      </c>
      <c r="G259" s="66">
        <v>0.306</v>
      </c>
      <c r="H259" s="66" t="s">
        <v>227</v>
      </c>
      <c r="I259" s="81">
        <f t="shared" si="1"/>
        <v>0.839869281</v>
      </c>
      <c r="J259" s="81">
        <f t="shared" si="2"/>
        <v>0.5435168739</v>
      </c>
    </row>
    <row r="260">
      <c r="A260" s="82">
        <v>44663.0</v>
      </c>
      <c r="B260" s="66">
        <v>2343.0</v>
      </c>
      <c r="C260" s="66">
        <v>1.0</v>
      </c>
      <c r="D260" s="66" t="s">
        <v>205</v>
      </c>
      <c r="E260" s="66">
        <v>0.0</v>
      </c>
      <c r="F260" s="66">
        <v>0.414</v>
      </c>
      <c r="G260" s="66">
        <v>0.225</v>
      </c>
      <c r="H260" s="66" t="s">
        <v>227</v>
      </c>
      <c r="I260" s="81">
        <f t="shared" si="1"/>
        <v>0.84</v>
      </c>
      <c r="J260" s="81">
        <f t="shared" si="2"/>
        <v>0.5434782609</v>
      </c>
    </row>
    <row r="261">
      <c r="A261" s="82">
        <v>44663.0</v>
      </c>
      <c r="B261" s="66">
        <v>2343.0</v>
      </c>
      <c r="C261" s="66">
        <v>1.0</v>
      </c>
      <c r="D261" s="66" t="s">
        <v>204</v>
      </c>
      <c r="E261" s="66">
        <v>0.0</v>
      </c>
      <c r="F261" s="66">
        <v>3.8794</v>
      </c>
      <c r="G261" s="66">
        <v>2.108</v>
      </c>
      <c r="H261" s="66" t="s">
        <v>226</v>
      </c>
      <c r="I261" s="81">
        <f t="shared" si="1"/>
        <v>0.8403225806</v>
      </c>
      <c r="J261" s="81">
        <f t="shared" si="2"/>
        <v>0.5433829974</v>
      </c>
    </row>
    <row r="262">
      <c r="A262" s="82">
        <v>44663.0</v>
      </c>
      <c r="B262" s="66">
        <v>2343.0</v>
      </c>
      <c r="C262" s="66">
        <v>2.0</v>
      </c>
      <c r="D262" s="66" t="s">
        <v>205</v>
      </c>
      <c r="E262" s="66">
        <v>0.0</v>
      </c>
      <c r="F262" s="66">
        <v>0.2632</v>
      </c>
      <c r="G262" s="66">
        <v>0.143</v>
      </c>
      <c r="H262" s="66" t="s">
        <v>227</v>
      </c>
      <c r="I262" s="81">
        <f t="shared" si="1"/>
        <v>0.8405594406</v>
      </c>
      <c r="J262" s="81">
        <f t="shared" si="2"/>
        <v>0.5433130699</v>
      </c>
    </row>
    <row r="263">
      <c r="A263" s="82">
        <v>44663.0</v>
      </c>
      <c r="B263" s="66">
        <v>2343.0</v>
      </c>
      <c r="C263" s="66">
        <v>2.0</v>
      </c>
      <c r="D263" s="66" t="s">
        <v>204</v>
      </c>
      <c r="E263" s="66">
        <v>0.0</v>
      </c>
      <c r="F263" s="66">
        <v>0.2281</v>
      </c>
      <c r="G263" s="66">
        <v>0.1239</v>
      </c>
      <c r="H263" s="66" t="s">
        <v>230</v>
      </c>
      <c r="I263" s="81">
        <f t="shared" si="1"/>
        <v>0.8410008071</v>
      </c>
      <c r="J263" s="81">
        <f t="shared" si="2"/>
        <v>0.5431828146</v>
      </c>
    </row>
    <row r="264">
      <c r="A264" s="82">
        <v>44663.0</v>
      </c>
      <c r="B264" s="66">
        <v>2343.0</v>
      </c>
      <c r="C264" s="66">
        <v>3.0</v>
      </c>
      <c r="D264" s="66" t="s">
        <v>205</v>
      </c>
      <c r="E264" s="66">
        <v>0.0</v>
      </c>
      <c r="F264" s="66">
        <v>0.3161</v>
      </c>
      <c r="G264" s="66">
        <v>0.1715</v>
      </c>
      <c r="I264" s="81">
        <f t="shared" si="1"/>
        <v>0.843148688</v>
      </c>
      <c r="J264" s="81">
        <f t="shared" si="2"/>
        <v>0.542549826</v>
      </c>
    </row>
    <row r="265">
      <c r="A265" s="82">
        <v>44663.0</v>
      </c>
      <c r="B265" s="66">
        <v>2343.0</v>
      </c>
      <c r="C265" s="66">
        <v>3.0</v>
      </c>
      <c r="D265" s="66" t="s">
        <v>204</v>
      </c>
      <c r="E265" s="66">
        <v>0.0</v>
      </c>
      <c r="F265" s="66">
        <v>0.3005</v>
      </c>
      <c r="G265" s="66">
        <v>0.163</v>
      </c>
      <c r="I265" s="81">
        <f t="shared" si="1"/>
        <v>0.8435582822</v>
      </c>
      <c r="J265" s="81">
        <f t="shared" si="2"/>
        <v>0.5424292845</v>
      </c>
    </row>
    <row r="266">
      <c r="A266" s="82">
        <v>44663.0</v>
      </c>
      <c r="B266" s="66">
        <v>2346.0</v>
      </c>
      <c r="C266" s="66">
        <v>1.0</v>
      </c>
      <c r="D266" s="66" t="s">
        <v>205</v>
      </c>
      <c r="E266" s="66">
        <v>0.0</v>
      </c>
      <c r="F266" s="66">
        <v>0.083</v>
      </c>
      <c r="G266" s="66">
        <v>0.045</v>
      </c>
      <c r="H266" s="66" t="s">
        <v>227</v>
      </c>
      <c r="I266" s="81">
        <f t="shared" si="1"/>
        <v>0.8444444444</v>
      </c>
      <c r="J266" s="81">
        <f t="shared" si="2"/>
        <v>0.5421686747</v>
      </c>
    </row>
    <row r="267">
      <c r="A267" s="82">
        <v>44663.0</v>
      </c>
      <c r="B267" s="66">
        <v>2346.0</v>
      </c>
      <c r="C267" s="66">
        <v>1.0</v>
      </c>
      <c r="D267" s="66" t="s">
        <v>205</v>
      </c>
      <c r="E267" s="66">
        <v>1.0</v>
      </c>
      <c r="F267" s="66">
        <v>0.1033</v>
      </c>
      <c r="G267" s="66">
        <v>0.056</v>
      </c>
      <c r="I267" s="81">
        <f t="shared" si="1"/>
        <v>0.8446428571</v>
      </c>
      <c r="J267" s="81">
        <f t="shared" si="2"/>
        <v>0.5421103582</v>
      </c>
    </row>
    <row r="268">
      <c r="A268" s="82">
        <v>44663.0</v>
      </c>
      <c r="B268" s="66">
        <v>2346.0</v>
      </c>
      <c r="C268" s="66">
        <v>1.0</v>
      </c>
      <c r="D268" s="66" t="s">
        <v>204</v>
      </c>
      <c r="E268" s="66">
        <v>0.0</v>
      </c>
      <c r="F268" s="66">
        <v>1.037</v>
      </c>
      <c r="G268" s="66">
        <v>0.562</v>
      </c>
      <c r="H268" s="66" t="s">
        <v>227</v>
      </c>
      <c r="I268" s="81">
        <f t="shared" si="1"/>
        <v>0.8451957295</v>
      </c>
      <c r="J268" s="81">
        <f t="shared" si="2"/>
        <v>0.5419479267</v>
      </c>
    </row>
    <row r="269">
      <c r="A269" s="82">
        <v>44663.0</v>
      </c>
      <c r="B269" s="66">
        <v>2346.0</v>
      </c>
      <c r="C269" s="66">
        <v>1.0</v>
      </c>
      <c r="D269" s="66" t="s">
        <v>204</v>
      </c>
      <c r="E269" s="66">
        <v>1.0</v>
      </c>
      <c r="F269" s="66">
        <v>1.047</v>
      </c>
      <c r="G269" s="66">
        <v>0.5672</v>
      </c>
      <c r="H269" s="66" t="s">
        <v>227</v>
      </c>
      <c r="I269" s="81">
        <f t="shared" si="1"/>
        <v>0.845909732</v>
      </c>
      <c r="J269" s="81">
        <f t="shared" si="2"/>
        <v>0.5417382999</v>
      </c>
    </row>
    <row r="270">
      <c r="A270" s="82">
        <v>44663.0</v>
      </c>
      <c r="B270" s="66">
        <v>2346.0</v>
      </c>
      <c r="C270" s="66">
        <v>2.0</v>
      </c>
      <c r="D270" s="66" t="s">
        <v>205</v>
      </c>
      <c r="E270" s="66">
        <v>0.0</v>
      </c>
      <c r="F270" s="66">
        <v>0.6223</v>
      </c>
      <c r="G270" s="66">
        <v>0.337</v>
      </c>
      <c r="H270" s="66" t="s">
        <v>227</v>
      </c>
      <c r="I270" s="81">
        <f t="shared" si="1"/>
        <v>0.8465875371</v>
      </c>
      <c r="J270" s="81">
        <f t="shared" si="2"/>
        <v>0.5415394504</v>
      </c>
    </row>
    <row r="271">
      <c r="A271" s="82">
        <v>44663.0</v>
      </c>
      <c r="B271" s="66">
        <v>2346.0</v>
      </c>
      <c r="C271" s="66">
        <v>2.0</v>
      </c>
      <c r="D271" s="66" t="s">
        <v>204</v>
      </c>
      <c r="E271" s="66">
        <v>0.0</v>
      </c>
      <c r="F271" s="66">
        <v>1.262</v>
      </c>
      <c r="G271" s="66">
        <v>0.683</v>
      </c>
      <c r="H271" s="66" t="s">
        <v>227</v>
      </c>
      <c r="I271" s="81">
        <f t="shared" si="1"/>
        <v>0.8477306003</v>
      </c>
      <c r="J271" s="81">
        <f t="shared" si="2"/>
        <v>0.5412044374</v>
      </c>
    </row>
    <row r="272">
      <c r="A272" s="82">
        <v>44663.0</v>
      </c>
      <c r="B272" s="66">
        <v>2346.0</v>
      </c>
      <c r="C272" s="66">
        <v>3.0</v>
      </c>
      <c r="D272" s="66" t="s">
        <v>205</v>
      </c>
      <c r="E272" s="66">
        <v>0.0</v>
      </c>
      <c r="F272" s="66">
        <v>0.3968</v>
      </c>
      <c r="G272" s="66">
        <v>0.2147</v>
      </c>
      <c r="H272" s="66" t="s">
        <v>230</v>
      </c>
      <c r="I272" s="81">
        <f t="shared" si="1"/>
        <v>0.8481602236</v>
      </c>
      <c r="J272" s="81">
        <f t="shared" si="2"/>
        <v>0.541078629</v>
      </c>
    </row>
    <row r="273">
      <c r="A273" s="82">
        <v>44663.0</v>
      </c>
      <c r="B273" s="66">
        <v>2346.0</v>
      </c>
      <c r="C273" s="66">
        <v>3.0</v>
      </c>
      <c r="D273" s="66" t="s">
        <v>204</v>
      </c>
      <c r="E273" s="66">
        <v>0.0</v>
      </c>
      <c r="F273" s="66">
        <v>0.3436</v>
      </c>
      <c r="G273" s="66">
        <v>0.1859</v>
      </c>
      <c r="I273" s="81">
        <f t="shared" si="1"/>
        <v>0.8483055406</v>
      </c>
      <c r="J273" s="81">
        <f t="shared" si="2"/>
        <v>0.5410360885</v>
      </c>
    </row>
    <row r="274">
      <c r="A274" s="82">
        <v>44663.0</v>
      </c>
      <c r="B274" s="66">
        <v>2347.0</v>
      </c>
      <c r="C274" s="66">
        <v>1.0</v>
      </c>
      <c r="D274" s="66" t="s">
        <v>205</v>
      </c>
      <c r="E274" s="66">
        <v>0.0</v>
      </c>
      <c r="F274" s="66">
        <v>0.4345</v>
      </c>
      <c r="G274" s="66">
        <v>0.235</v>
      </c>
      <c r="I274" s="81">
        <f t="shared" si="1"/>
        <v>0.8489361702</v>
      </c>
      <c r="J274" s="81">
        <f t="shared" si="2"/>
        <v>0.5408515535</v>
      </c>
    </row>
    <row r="275">
      <c r="A275" s="82">
        <v>44663.0</v>
      </c>
      <c r="B275" s="66">
        <v>2347.0</v>
      </c>
      <c r="C275" s="66">
        <v>1.0</v>
      </c>
      <c r="D275" s="66" t="s">
        <v>204</v>
      </c>
      <c r="E275" s="66">
        <v>0.0</v>
      </c>
      <c r="F275" s="66">
        <v>0.2367</v>
      </c>
      <c r="G275" s="66">
        <v>0.128</v>
      </c>
      <c r="I275" s="81">
        <f t="shared" si="1"/>
        <v>0.84921875</v>
      </c>
      <c r="J275" s="81">
        <f t="shared" si="2"/>
        <v>0.5407689058</v>
      </c>
    </row>
    <row r="276">
      <c r="A276" s="82">
        <v>44663.0</v>
      </c>
      <c r="B276" s="66">
        <v>2347.0</v>
      </c>
      <c r="C276" s="66">
        <v>2.0</v>
      </c>
      <c r="D276" s="66" t="s">
        <v>205</v>
      </c>
      <c r="E276" s="66">
        <v>0.0</v>
      </c>
      <c r="F276" s="66">
        <v>0.1452</v>
      </c>
      <c r="G276" s="66">
        <v>0.0785</v>
      </c>
      <c r="I276" s="81">
        <f t="shared" si="1"/>
        <v>0.8496815287</v>
      </c>
      <c r="J276" s="81">
        <f t="shared" si="2"/>
        <v>0.5406336088</v>
      </c>
    </row>
    <row r="277">
      <c r="A277" s="82">
        <v>44663.0</v>
      </c>
      <c r="B277" s="66">
        <v>2347.0</v>
      </c>
      <c r="C277" s="66">
        <v>2.0</v>
      </c>
      <c r="D277" s="66" t="s">
        <v>204</v>
      </c>
      <c r="E277" s="66">
        <v>0.0</v>
      </c>
      <c r="F277" s="66">
        <v>6.191</v>
      </c>
      <c r="G277" s="66">
        <v>3.347</v>
      </c>
      <c r="H277" s="66" t="s">
        <v>228</v>
      </c>
      <c r="I277" s="81">
        <f t="shared" si="1"/>
        <v>0.8497161637</v>
      </c>
      <c r="J277" s="81">
        <f t="shared" si="2"/>
        <v>0.5406234857</v>
      </c>
    </row>
    <row r="278">
      <c r="A278" s="82">
        <v>44663.0</v>
      </c>
      <c r="B278" s="66">
        <v>2347.0</v>
      </c>
      <c r="C278" s="66">
        <v>3.0</v>
      </c>
      <c r="D278" s="66" t="s">
        <v>205</v>
      </c>
      <c r="E278" s="66">
        <v>0.0</v>
      </c>
      <c r="F278" s="66">
        <v>1.2636</v>
      </c>
      <c r="G278" s="66">
        <v>0.683</v>
      </c>
      <c r="I278" s="81">
        <f t="shared" si="1"/>
        <v>0.8500732064</v>
      </c>
      <c r="J278" s="81">
        <f t="shared" si="2"/>
        <v>0.5405191516</v>
      </c>
    </row>
    <row r="279">
      <c r="A279" s="82">
        <v>44663.0</v>
      </c>
      <c r="B279" s="66">
        <v>2347.0</v>
      </c>
      <c r="C279" s="66">
        <v>3.0</v>
      </c>
      <c r="D279" s="66" t="s">
        <v>204</v>
      </c>
      <c r="E279" s="66">
        <v>0.0</v>
      </c>
      <c r="F279" s="66">
        <v>0.853</v>
      </c>
      <c r="G279" s="66">
        <v>0.461</v>
      </c>
      <c r="I279" s="81">
        <f t="shared" si="1"/>
        <v>0.8503253796</v>
      </c>
      <c r="J279" s="81">
        <f t="shared" si="2"/>
        <v>0.5404454865</v>
      </c>
    </row>
    <row r="280">
      <c r="A280" s="82">
        <v>44663.0</v>
      </c>
      <c r="B280" s="66">
        <v>2348.0</v>
      </c>
      <c r="C280" s="66">
        <v>1.0</v>
      </c>
      <c r="D280" s="66" t="s">
        <v>205</v>
      </c>
      <c r="E280" s="66">
        <v>0.0</v>
      </c>
      <c r="F280" s="66">
        <v>1.1251</v>
      </c>
      <c r="G280" s="66">
        <v>0.608</v>
      </c>
      <c r="H280" s="66" t="s">
        <v>227</v>
      </c>
      <c r="I280" s="81">
        <f t="shared" si="1"/>
        <v>0.8504934211</v>
      </c>
      <c r="J280" s="81">
        <f t="shared" si="2"/>
        <v>0.5403964092</v>
      </c>
    </row>
    <row r="281">
      <c r="A281" s="82">
        <v>44663.0</v>
      </c>
      <c r="B281" s="66">
        <v>2348.0</v>
      </c>
      <c r="C281" s="66">
        <v>1.0</v>
      </c>
      <c r="D281" s="66" t="s">
        <v>204</v>
      </c>
      <c r="E281" s="66">
        <v>0.0</v>
      </c>
      <c r="F281" s="66">
        <v>0.5237</v>
      </c>
      <c r="G281" s="66">
        <v>0.283</v>
      </c>
      <c r="I281" s="81">
        <f t="shared" si="1"/>
        <v>0.8505300353</v>
      </c>
      <c r="J281" s="81">
        <f t="shared" si="2"/>
        <v>0.540385717</v>
      </c>
    </row>
    <row r="282">
      <c r="A282" s="82">
        <v>44663.0</v>
      </c>
      <c r="B282" s="66">
        <v>2348.0</v>
      </c>
      <c r="C282" s="66">
        <v>2.0</v>
      </c>
      <c r="D282" s="66" t="s">
        <v>205</v>
      </c>
      <c r="E282" s="66">
        <v>0.0</v>
      </c>
      <c r="F282" s="66">
        <v>1.3244</v>
      </c>
      <c r="G282" s="66">
        <v>0.7156</v>
      </c>
      <c r="I282" s="81">
        <f t="shared" si="1"/>
        <v>0.8507546115</v>
      </c>
      <c r="J282" s="81">
        <f t="shared" si="2"/>
        <v>0.540320145</v>
      </c>
    </row>
    <row r="283">
      <c r="A283" s="82">
        <v>44663.0</v>
      </c>
      <c r="B283" s="66">
        <v>2348.0</v>
      </c>
      <c r="C283" s="66">
        <v>2.0</v>
      </c>
      <c r="D283" s="66" t="s">
        <v>204</v>
      </c>
      <c r="E283" s="66">
        <v>0.0</v>
      </c>
      <c r="F283" s="66">
        <v>1.451</v>
      </c>
      <c r="G283" s="66">
        <v>0.784</v>
      </c>
      <c r="H283" s="66" t="s">
        <v>227</v>
      </c>
      <c r="I283" s="81">
        <f t="shared" si="1"/>
        <v>0.8507653061</v>
      </c>
      <c r="J283" s="81">
        <f t="shared" si="2"/>
        <v>0.5403170227</v>
      </c>
    </row>
    <row r="284">
      <c r="A284" s="82">
        <v>44663.0</v>
      </c>
      <c r="B284" s="66">
        <v>2348.0</v>
      </c>
      <c r="C284" s="66">
        <v>3.0</v>
      </c>
      <c r="D284" s="66" t="s">
        <v>205</v>
      </c>
      <c r="E284" s="66">
        <v>0.0</v>
      </c>
      <c r="F284" s="66">
        <v>0.5868</v>
      </c>
      <c r="G284" s="66">
        <v>0.317</v>
      </c>
      <c r="I284" s="81">
        <f t="shared" si="1"/>
        <v>0.8511041009</v>
      </c>
      <c r="J284" s="81">
        <f t="shared" si="2"/>
        <v>0.5402181322</v>
      </c>
    </row>
    <row r="285">
      <c r="A285" s="82">
        <v>44663.0</v>
      </c>
      <c r="B285" s="66">
        <v>2348.0</v>
      </c>
      <c r="C285" s="66">
        <v>3.0</v>
      </c>
      <c r="D285" s="66" t="s">
        <v>204</v>
      </c>
      <c r="E285" s="66">
        <v>0.0</v>
      </c>
      <c r="F285" s="66">
        <v>0.1272</v>
      </c>
      <c r="G285" s="66">
        <v>0.0687</v>
      </c>
      <c r="I285" s="81">
        <f t="shared" si="1"/>
        <v>0.8515283843</v>
      </c>
      <c r="J285" s="81">
        <f t="shared" si="2"/>
        <v>0.5400943396</v>
      </c>
    </row>
    <row r="286">
      <c r="A286" s="82">
        <v>44663.0</v>
      </c>
      <c r="B286" s="66">
        <v>2349.0</v>
      </c>
      <c r="C286" s="66">
        <v>1.0</v>
      </c>
      <c r="D286" s="66" t="s">
        <v>205</v>
      </c>
      <c r="E286" s="66">
        <v>0.0</v>
      </c>
      <c r="F286" s="66">
        <v>0.6109</v>
      </c>
      <c r="G286" s="66">
        <v>0.3299</v>
      </c>
      <c r="I286" s="81">
        <f t="shared" si="1"/>
        <v>0.8517732646</v>
      </c>
      <c r="J286" s="81">
        <f t="shared" si="2"/>
        <v>0.540022917</v>
      </c>
    </row>
    <row r="287">
      <c r="A287" s="82">
        <v>44663.0</v>
      </c>
      <c r="B287" s="66">
        <v>2349.0</v>
      </c>
      <c r="C287" s="66">
        <v>1.0</v>
      </c>
      <c r="D287" s="66" t="s">
        <v>204</v>
      </c>
      <c r="E287" s="66">
        <v>0.0</v>
      </c>
      <c r="F287" s="66">
        <v>0.3596</v>
      </c>
      <c r="G287" s="66">
        <v>0.194</v>
      </c>
      <c r="H287" s="66" t="s">
        <v>227</v>
      </c>
      <c r="I287" s="81">
        <f t="shared" si="1"/>
        <v>0.8536082474</v>
      </c>
      <c r="J287" s="81">
        <f t="shared" si="2"/>
        <v>0.5394883204</v>
      </c>
    </row>
    <row r="288">
      <c r="A288" s="82">
        <v>44663.0</v>
      </c>
      <c r="B288" s="66">
        <v>2349.0</v>
      </c>
      <c r="C288" s="66">
        <v>2.0</v>
      </c>
      <c r="D288" s="66" t="s">
        <v>205</v>
      </c>
      <c r="E288" s="66">
        <v>0.0</v>
      </c>
      <c r="F288" s="66">
        <v>0.547</v>
      </c>
      <c r="G288" s="66">
        <v>0.295</v>
      </c>
      <c r="H288" s="66" t="s">
        <v>227</v>
      </c>
      <c r="I288" s="81">
        <f t="shared" si="1"/>
        <v>0.8542372881</v>
      </c>
      <c r="J288" s="81">
        <f t="shared" si="2"/>
        <v>0.5393053016</v>
      </c>
    </row>
    <row r="289">
      <c r="A289" s="82">
        <v>44663.0</v>
      </c>
      <c r="B289" s="66">
        <v>2349.0</v>
      </c>
      <c r="C289" s="66">
        <v>2.0</v>
      </c>
      <c r="D289" s="66" t="s">
        <v>204</v>
      </c>
      <c r="E289" s="66">
        <v>0.0</v>
      </c>
      <c r="F289" s="66">
        <v>0.5694</v>
      </c>
      <c r="G289" s="66">
        <v>0.307</v>
      </c>
      <c r="H289" s="66" t="s">
        <v>227</v>
      </c>
      <c r="I289" s="81">
        <f t="shared" si="1"/>
        <v>0.854723127</v>
      </c>
      <c r="J289" s="81">
        <f t="shared" si="2"/>
        <v>0.5391640323</v>
      </c>
    </row>
    <row r="290">
      <c r="A290" s="82">
        <v>44663.0</v>
      </c>
      <c r="B290" s="66">
        <v>2349.0</v>
      </c>
      <c r="C290" s="66">
        <v>3.0</v>
      </c>
      <c r="D290" s="66" t="s">
        <v>205</v>
      </c>
      <c r="E290" s="66">
        <v>0.0</v>
      </c>
      <c r="F290" s="66">
        <v>0.4188</v>
      </c>
      <c r="G290" s="66">
        <v>0.2257</v>
      </c>
      <c r="H290" s="66" t="s">
        <v>226</v>
      </c>
      <c r="I290" s="81">
        <f t="shared" si="1"/>
        <v>0.8555604785</v>
      </c>
      <c r="J290" s="81">
        <f t="shared" si="2"/>
        <v>0.5389207259</v>
      </c>
    </row>
    <row r="291">
      <c r="A291" s="82">
        <v>44663.0</v>
      </c>
      <c r="B291" s="66">
        <v>2349.0</v>
      </c>
      <c r="C291" s="66">
        <v>3.0</v>
      </c>
      <c r="D291" s="66" t="s">
        <v>204</v>
      </c>
      <c r="E291" s="66">
        <v>0.0</v>
      </c>
      <c r="F291" s="66">
        <v>0.505</v>
      </c>
      <c r="G291" s="66">
        <v>0.272</v>
      </c>
      <c r="H291" s="66" t="s">
        <v>227</v>
      </c>
      <c r="I291" s="81">
        <f t="shared" si="1"/>
        <v>0.8566176471</v>
      </c>
      <c r="J291" s="81">
        <f t="shared" si="2"/>
        <v>0.5386138614</v>
      </c>
    </row>
    <row r="292">
      <c r="A292" s="82">
        <v>44663.0</v>
      </c>
      <c r="B292" s="66">
        <v>2351.0</v>
      </c>
      <c r="C292" s="66">
        <v>1.0</v>
      </c>
      <c r="D292" s="66" t="s">
        <v>205</v>
      </c>
      <c r="E292" s="66">
        <v>0.0</v>
      </c>
      <c r="F292" s="66">
        <v>0.9165</v>
      </c>
      <c r="G292" s="66">
        <v>0.493</v>
      </c>
      <c r="I292" s="81">
        <f t="shared" si="1"/>
        <v>0.8590263692</v>
      </c>
      <c r="J292" s="81">
        <f t="shared" si="2"/>
        <v>0.5379159847</v>
      </c>
    </row>
    <row r="293">
      <c r="A293" s="82">
        <v>44663.0</v>
      </c>
      <c r="B293" s="66">
        <v>2351.0</v>
      </c>
      <c r="C293" s="66">
        <v>1.0</v>
      </c>
      <c r="D293" s="66" t="s">
        <v>204</v>
      </c>
      <c r="E293" s="66">
        <v>0.0</v>
      </c>
      <c r="F293" s="66">
        <v>0.4276</v>
      </c>
      <c r="G293" s="66">
        <v>0.23</v>
      </c>
      <c r="H293" s="66" t="s">
        <v>227</v>
      </c>
      <c r="I293" s="81">
        <f t="shared" si="1"/>
        <v>0.8591304348</v>
      </c>
      <c r="J293" s="81">
        <f t="shared" si="2"/>
        <v>0.5378858746</v>
      </c>
    </row>
    <row r="294">
      <c r="A294" s="82">
        <v>44663.0</v>
      </c>
      <c r="B294" s="66">
        <v>2351.0</v>
      </c>
      <c r="C294" s="66">
        <v>2.0</v>
      </c>
      <c r="D294" s="66" t="s">
        <v>205</v>
      </c>
      <c r="E294" s="66">
        <v>0.0</v>
      </c>
      <c r="F294" s="66">
        <v>0.1283</v>
      </c>
      <c r="G294" s="66">
        <v>0.069</v>
      </c>
      <c r="I294" s="81">
        <f t="shared" si="1"/>
        <v>0.8594202899</v>
      </c>
      <c r="J294" s="81">
        <f t="shared" si="2"/>
        <v>0.5378020265</v>
      </c>
    </row>
    <row r="295">
      <c r="A295" s="82">
        <v>44663.0</v>
      </c>
      <c r="B295" s="66">
        <v>2351.0</v>
      </c>
      <c r="C295" s="66">
        <v>2.0</v>
      </c>
      <c r="D295" s="66" t="s">
        <v>204</v>
      </c>
      <c r="E295" s="66">
        <v>0.0</v>
      </c>
      <c r="F295" s="66">
        <v>1.312</v>
      </c>
      <c r="G295" s="66">
        <v>0.7051</v>
      </c>
      <c r="I295" s="81">
        <f t="shared" si="1"/>
        <v>0.8607289746</v>
      </c>
      <c r="J295" s="81">
        <f t="shared" si="2"/>
        <v>0.5374237805</v>
      </c>
    </row>
    <row r="296">
      <c r="A296" s="82">
        <v>44663.0</v>
      </c>
      <c r="B296" s="66">
        <v>2351.0</v>
      </c>
      <c r="C296" s="66">
        <v>3.0</v>
      </c>
      <c r="D296" s="66" t="s">
        <v>205</v>
      </c>
      <c r="E296" s="66">
        <v>0.0</v>
      </c>
      <c r="F296" s="66">
        <v>1.6147</v>
      </c>
      <c r="G296" s="66">
        <v>0.8674</v>
      </c>
      <c r="H296" s="66" t="s">
        <v>230</v>
      </c>
      <c r="I296" s="81">
        <f t="shared" si="1"/>
        <v>0.8615402352</v>
      </c>
      <c r="J296" s="81">
        <f t="shared" si="2"/>
        <v>0.5371895708</v>
      </c>
    </row>
    <row r="297">
      <c r="A297" s="82">
        <v>44663.0</v>
      </c>
      <c r="B297" s="66">
        <v>2351.0</v>
      </c>
      <c r="C297" s="66">
        <v>3.0</v>
      </c>
      <c r="D297" s="66" t="s">
        <v>204</v>
      </c>
      <c r="E297" s="66">
        <v>0.0</v>
      </c>
      <c r="F297" s="66">
        <v>0.514</v>
      </c>
      <c r="G297" s="66">
        <v>0.276</v>
      </c>
      <c r="I297" s="81">
        <f t="shared" si="1"/>
        <v>0.8623188406</v>
      </c>
      <c r="J297" s="81">
        <f t="shared" si="2"/>
        <v>0.5369649805</v>
      </c>
    </row>
    <row r="298">
      <c r="A298" s="82">
        <v>44663.0</v>
      </c>
      <c r="B298" s="66">
        <v>2352.0</v>
      </c>
      <c r="C298" s="66">
        <v>1.0</v>
      </c>
      <c r="D298" s="66" t="s">
        <v>205</v>
      </c>
      <c r="E298" s="66">
        <v>1.0</v>
      </c>
      <c r="F298" s="66">
        <v>0.1505</v>
      </c>
      <c r="G298" s="66">
        <v>0.0808</v>
      </c>
      <c r="I298" s="81">
        <f t="shared" si="1"/>
        <v>0.8626237624</v>
      </c>
      <c r="J298" s="81">
        <f t="shared" si="2"/>
        <v>0.5368770764</v>
      </c>
    </row>
    <row r="299">
      <c r="A299" s="82">
        <v>44663.0</v>
      </c>
      <c r="B299" s="66">
        <v>2352.0</v>
      </c>
      <c r="C299" s="66">
        <v>1.0</v>
      </c>
      <c r="D299" s="66" t="s">
        <v>204</v>
      </c>
      <c r="E299" s="66">
        <v>1.0</v>
      </c>
      <c r="F299" s="66">
        <v>0.4117</v>
      </c>
      <c r="G299" s="66">
        <v>0.221</v>
      </c>
      <c r="H299" s="66" t="s">
        <v>227</v>
      </c>
      <c r="I299" s="81">
        <f t="shared" si="1"/>
        <v>0.8628959276</v>
      </c>
      <c r="J299" s="81">
        <f t="shared" si="2"/>
        <v>0.5367986398</v>
      </c>
    </row>
    <row r="300">
      <c r="A300" s="82">
        <v>44663.0</v>
      </c>
      <c r="B300" s="66">
        <v>2352.0</v>
      </c>
      <c r="C300" s="66">
        <v>2.0</v>
      </c>
      <c r="D300" s="66" t="s">
        <v>205</v>
      </c>
      <c r="E300" s="66">
        <v>1.0</v>
      </c>
      <c r="F300" s="66">
        <v>0.3633</v>
      </c>
      <c r="G300" s="66">
        <v>0.195</v>
      </c>
      <c r="I300" s="81">
        <f t="shared" si="1"/>
        <v>0.8630769231</v>
      </c>
      <c r="J300" s="81">
        <f t="shared" si="2"/>
        <v>0.5367464905</v>
      </c>
    </row>
    <row r="301">
      <c r="A301" s="82">
        <v>44663.0</v>
      </c>
      <c r="B301" s="66">
        <v>2352.0</v>
      </c>
      <c r="C301" s="66">
        <v>2.0</v>
      </c>
      <c r="D301" s="66" t="s">
        <v>204</v>
      </c>
      <c r="E301" s="66">
        <v>1.0</v>
      </c>
      <c r="F301" s="66">
        <v>0.7042</v>
      </c>
      <c r="G301" s="66">
        <v>0.3779</v>
      </c>
      <c r="H301" s="66" t="s">
        <v>230</v>
      </c>
      <c r="I301" s="81">
        <f t="shared" si="1"/>
        <v>0.8634559407</v>
      </c>
      <c r="J301" s="81">
        <f t="shared" si="2"/>
        <v>0.5366373189</v>
      </c>
    </row>
    <row r="302">
      <c r="A302" s="82">
        <v>44663.0</v>
      </c>
      <c r="B302" s="66">
        <v>2354.0</v>
      </c>
      <c r="C302" s="66">
        <v>1.0</v>
      </c>
      <c r="D302" s="66" t="s">
        <v>205</v>
      </c>
      <c r="E302" s="66">
        <v>0.0</v>
      </c>
      <c r="F302" s="66">
        <v>0.2143</v>
      </c>
      <c r="G302" s="66">
        <v>0.115</v>
      </c>
      <c r="I302" s="81">
        <f t="shared" si="1"/>
        <v>0.8634782609</v>
      </c>
      <c r="J302" s="81">
        <f t="shared" si="2"/>
        <v>0.5366308913</v>
      </c>
    </row>
    <row r="303">
      <c r="A303" s="82">
        <v>44663.0</v>
      </c>
      <c r="B303" s="66">
        <v>2354.0</v>
      </c>
      <c r="C303" s="66">
        <v>1.0</v>
      </c>
      <c r="D303" s="66" t="s">
        <v>205</v>
      </c>
      <c r="E303" s="66">
        <v>1.0</v>
      </c>
      <c r="F303" s="66">
        <v>1.3598</v>
      </c>
      <c r="G303" s="66">
        <v>0.7297</v>
      </c>
      <c r="I303" s="81">
        <f t="shared" si="1"/>
        <v>0.8635055502</v>
      </c>
      <c r="J303" s="81">
        <f t="shared" si="2"/>
        <v>0.5366230328</v>
      </c>
    </row>
    <row r="304">
      <c r="A304" s="82">
        <v>44663.0</v>
      </c>
      <c r="B304" s="66">
        <v>2354.0</v>
      </c>
      <c r="C304" s="66">
        <v>1.0</v>
      </c>
      <c r="D304" s="66" t="s">
        <v>204</v>
      </c>
      <c r="E304" s="66">
        <v>0.0</v>
      </c>
      <c r="F304" s="66">
        <v>0.5368</v>
      </c>
      <c r="G304" s="66">
        <v>0.288</v>
      </c>
      <c r="I304" s="81">
        <f t="shared" si="1"/>
        <v>0.8638888889</v>
      </c>
      <c r="J304" s="81">
        <f t="shared" si="2"/>
        <v>0.5365126677</v>
      </c>
    </row>
    <row r="305">
      <c r="A305" s="82">
        <v>44663.0</v>
      </c>
      <c r="B305" s="66">
        <v>2354.0</v>
      </c>
      <c r="C305" s="66">
        <v>1.0</v>
      </c>
      <c r="D305" s="66" t="s">
        <v>204</v>
      </c>
      <c r="E305" s="66">
        <v>1.0</v>
      </c>
      <c r="F305" s="66">
        <v>0.468</v>
      </c>
      <c r="G305" s="66">
        <v>0.251</v>
      </c>
      <c r="H305" s="66" t="s">
        <v>227</v>
      </c>
      <c r="I305" s="81">
        <f t="shared" si="1"/>
        <v>0.8645418327</v>
      </c>
      <c r="J305" s="81">
        <f t="shared" si="2"/>
        <v>0.5363247863</v>
      </c>
    </row>
    <row r="306">
      <c r="A306" s="82">
        <v>44663.0</v>
      </c>
      <c r="B306" s="66">
        <v>2354.0</v>
      </c>
      <c r="C306" s="66">
        <v>2.0</v>
      </c>
      <c r="D306" s="66" t="s">
        <v>205</v>
      </c>
      <c r="E306" s="66">
        <v>0.0</v>
      </c>
      <c r="F306" s="66">
        <v>1.0341</v>
      </c>
      <c r="G306" s="66">
        <v>0.5544</v>
      </c>
      <c r="I306" s="81">
        <f t="shared" si="1"/>
        <v>0.8652597403</v>
      </c>
      <c r="J306" s="81">
        <f t="shared" si="2"/>
        <v>0.5361183638</v>
      </c>
    </row>
    <row r="307">
      <c r="A307" s="82">
        <v>44663.0</v>
      </c>
      <c r="B307" s="66">
        <v>2354.0</v>
      </c>
      <c r="C307" s="66">
        <v>2.0</v>
      </c>
      <c r="D307" s="66" t="s">
        <v>204</v>
      </c>
      <c r="E307" s="66">
        <v>0.0</v>
      </c>
      <c r="F307" s="66">
        <v>0.222</v>
      </c>
      <c r="G307" s="66">
        <v>0.119</v>
      </c>
      <c r="H307" s="66" t="s">
        <v>227</v>
      </c>
      <c r="I307" s="81">
        <f t="shared" si="1"/>
        <v>0.8655462185</v>
      </c>
      <c r="J307" s="81">
        <f t="shared" si="2"/>
        <v>0.536036036</v>
      </c>
    </row>
    <row r="308">
      <c r="A308" s="82">
        <v>44663.0</v>
      </c>
      <c r="B308" s="66">
        <v>2354.0</v>
      </c>
      <c r="C308" s="66">
        <v>3.0</v>
      </c>
      <c r="D308" s="66" t="s">
        <v>205</v>
      </c>
      <c r="E308" s="66">
        <v>0.0</v>
      </c>
      <c r="F308" s="66">
        <v>0.4702</v>
      </c>
      <c r="G308" s="66">
        <v>0.252</v>
      </c>
      <c r="I308" s="81">
        <f t="shared" si="1"/>
        <v>0.8658730159</v>
      </c>
      <c r="J308" s="81">
        <f t="shared" si="2"/>
        <v>0.5359421523</v>
      </c>
    </row>
    <row r="309">
      <c r="A309" s="82">
        <v>44663.0</v>
      </c>
      <c r="B309" s="66">
        <v>2354.0</v>
      </c>
      <c r="C309" s="66">
        <v>3.0</v>
      </c>
      <c r="D309" s="66" t="s">
        <v>205</v>
      </c>
      <c r="E309" s="66">
        <v>1.0</v>
      </c>
      <c r="F309" s="66">
        <v>0.1499</v>
      </c>
      <c r="G309" s="66">
        <v>0.0803</v>
      </c>
      <c r="I309" s="81">
        <f t="shared" si="1"/>
        <v>0.8667496887</v>
      </c>
      <c r="J309" s="81">
        <f t="shared" si="2"/>
        <v>0.5356904603</v>
      </c>
    </row>
    <row r="310">
      <c r="A310" s="82">
        <v>44663.0</v>
      </c>
      <c r="B310" s="66">
        <v>2354.0</v>
      </c>
      <c r="C310" s="66">
        <v>3.0</v>
      </c>
      <c r="D310" s="66" t="s">
        <v>204</v>
      </c>
      <c r="E310" s="66">
        <v>0.0</v>
      </c>
      <c r="F310" s="66">
        <v>0.9894</v>
      </c>
      <c r="G310" s="66">
        <v>0.53</v>
      </c>
      <c r="H310" s="66" t="s">
        <v>227</v>
      </c>
      <c r="I310" s="81">
        <f t="shared" si="1"/>
        <v>0.8667924528</v>
      </c>
      <c r="J310" s="81">
        <f t="shared" si="2"/>
        <v>0.5356781888</v>
      </c>
    </row>
    <row r="311">
      <c r="A311" s="82">
        <v>44663.0</v>
      </c>
      <c r="B311" s="66">
        <v>2354.0</v>
      </c>
      <c r="C311" s="66">
        <v>3.0</v>
      </c>
      <c r="D311" s="66" t="s">
        <v>204</v>
      </c>
      <c r="E311" s="66">
        <v>1.0</v>
      </c>
      <c r="F311" s="66">
        <v>0.2539</v>
      </c>
      <c r="G311" s="66">
        <v>0.136</v>
      </c>
      <c r="H311" s="66" t="s">
        <v>227</v>
      </c>
      <c r="I311" s="81">
        <f t="shared" si="1"/>
        <v>0.8669117647</v>
      </c>
      <c r="J311" s="81">
        <f t="shared" si="2"/>
        <v>0.5356439543</v>
      </c>
    </row>
    <row r="312">
      <c r="A312" s="82">
        <v>44663.0</v>
      </c>
      <c r="B312" s="66">
        <v>2370.0</v>
      </c>
      <c r="C312" s="66">
        <v>1.0</v>
      </c>
      <c r="D312" s="66" t="s">
        <v>205</v>
      </c>
      <c r="E312" s="66">
        <v>0.0</v>
      </c>
      <c r="F312" s="66">
        <v>0.7805</v>
      </c>
      <c r="G312" s="66">
        <v>0.418</v>
      </c>
      <c r="I312" s="81">
        <f t="shared" si="1"/>
        <v>0.8672248804</v>
      </c>
      <c r="J312" s="81">
        <f t="shared" si="2"/>
        <v>0.535554132</v>
      </c>
    </row>
    <row r="313">
      <c r="A313" s="82">
        <v>44663.0</v>
      </c>
      <c r="B313" s="66">
        <v>2370.0</v>
      </c>
      <c r="C313" s="66">
        <v>1.0</v>
      </c>
      <c r="D313" s="66" t="s">
        <v>204</v>
      </c>
      <c r="E313" s="66">
        <v>0.0</v>
      </c>
      <c r="F313" s="66">
        <v>1.5629</v>
      </c>
      <c r="G313" s="66">
        <v>0.837</v>
      </c>
      <c r="I313" s="81">
        <f t="shared" si="1"/>
        <v>0.8672640382</v>
      </c>
      <c r="J313" s="81">
        <f t="shared" si="2"/>
        <v>0.535542901</v>
      </c>
    </row>
    <row r="314">
      <c r="A314" s="82">
        <v>44663.0</v>
      </c>
      <c r="B314" s="66">
        <v>2370.0</v>
      </c>
      <c r="C314" s="66">
        <v>2.0</v>
      </c>
      <c r="D314" s="66" t="s">
        <v>205</v>
      </c>
      <c r="E314" s="66">
        <v>0.0</v>
      </c>
      <c r="F314" s="66">
        <v>0.4889</v>
      </c>
      <c r="G314" s="66">
        <v>0.2618</v>
      </c>
      <c r="I314" s="81">
        <f t="shared" si="1"/>
        <v>0.8674560733</v>
      </c>
      <c r="J314" s="81">
        <f t="shared" si="2"/>
        <v>0.5354878298</v>
      </c>
    </row>
    <row r="315">
      <c r="A315" s="82">
        <v>44663.0</v>
      </c>
      <c r="B315" s="66">
        <v>2370.0</v>
      </c>
      <c r="C315" s="66">
        <v>2.0</v>
      </c>
      <c r="D315" s="66" t="s">
        <v>204</v>
      </c>
      <c r="E315" s="66">
        <v>0.0</v>
      </c>
      <c r="F315" s="66">
        <v>2.706</v>
      </c>
      <c r="G315" s="66">
        <v>1.449</v>
      </c>
      <c r="H315" s="66" t="s">
        <v>227</v>
      </c>
      <c r="I315" s="81">
        <f t="shared" si="1"/>
        <v>0.867494824</v>
      </c>
      <c r="J315" s="81">
        <f t="shared" si="2"/>
        <v>0.5354767184</v>
      </c>
    </row>
    <row r="316">
      <c r="A316" s="82">
        <v>44663.0</v>
      </c>
      <c r="B316" s="66">
        <v>2370.0</v>
      </c>
      <c r="C316" s="66">
        <v>3.0</v>
      </c>
      <c r="D316" s="66" t="s">
        <v>205</v>
      </c>
      <c r="E316" s="66">
        <v>0.0</v>
      </c>
      <c r="F316" s="66">
        <v>2.6489</v>
      </c>
      <c r="G316" s="66">
        <v>1.4181</v>
      </c>
      <c r="I316" s="81">
        <f t="shared" si="1"/>
        <v>0.8679218673</v>
      </c>
      <c r="J316" s="81">
        <f t="shared" si="2"/>
        <v>0.535354298</v>
      </c>
    </row>
    <row r="317">
      <c r="A317" s="82">
        <v>44663.0</v>
      </c>
      <c r="B317" s="66">
        <v>2370.0</v>
      </c>
      <c r="C317" s="66">
        <v>3.0</v>
      </c>
      <c r="D317" s="66" t="s">
        <v>204</v>
      </c>
      <c r="E317" s="66">
        <v>0.0</v>
      </c>
      <c r="F317" s="66">
        <v>0.309</v>
      </c>
      <c r="G317" s="66">
        <v>0.1654</v>
      </c>
      <c r="H317" s="66" t="s">
        <v>230</v>
      </c>
      <c r="I317" s="81">
        <f t="shared" si="1"/>
        <v>0.8681983071</v>
      </c>
      <c r="J317" s="81">
        <f t="shared" si="2"/>
        <v>0.5352750809</v>
      </c>
    </row>
    <row r="318">
      <c r="A318" s="82">
        <v>44663.0</v>
      </c>
      <c r="B318" s="66">
        <v>2371.0</v>
      </c>
      <c r="C318" s="66">
        <v>1.0</v>
      </c>
      <c r="D318" s="66" t="s">
        <v>205</v>
      </c>
      <c r="E318" s="66">
        <v>0.0</v>
      </c>
      <c r="F318" s="66">
        <v>0.6048</v>
      </c>
      <c r="G318" s="66">
        <v>0.3237</v>
      </c>
      <c r="H318" s="66" t="s">
        <v>230</v>
      </c>
      <c r="I318" s="81">
        <f t="shared" si="1"/>
        <v>0.8683966636</v>
      </c>
      <c r="J318" s="81">
        <f t="shared" si="2"/>
        <v>0.535218254</v>
      </c>
    </row>
    <row r="319">
      <c r="A319" s="82">
        <v>44663.0</v>
      </c>
      <c r="B319" s="66">
        <v>2371.0</v>
      </c>
      <c r="C319" s="66">
        <v>1.0</v>
      </c>
      <c r="D319" s="66" t="s">
        <v>204</v>
      </c>
      <c r="E319" s="66">
        <v>0.0</v>
      </c>
      <c r="F319" s="66">
        <v>0.772</v>
      </c>
      <c r="G319" s="66">
        <v>0.4129</v>
      </c>
      <c r="H319" s="66" t="s">
        <v>230</v>
      </c>
      <c r="I319" s="81">
        <f t="shared" si="1"/>
        <v>0.869702107</v>
      </c>
      <c r="J319" s="81">
        <f t="shared" si="2"/>
        <v>0.5348445596</v>
      </c>
    </row>
    <row r="320">
      <c r="A320" s="82">
        <v>44663.0</v>
      </c>
      <c r="B320" s="66">
        <v>2371.0</v>
      </c>
      <c r="C320" s="66">
        <v>2.0</v>
      </c>
      <c r="D320" s="66" t="s">
        <v>205</v>
      </c>
      <c r="E320" s="66">
        <v>0.0</v>
      </c>
      <c r="F320" s="66">
        <v>0.2038</v>
      </c>
      <c r="G320" s="66">
        <v>0.109</v>
      </c>
      <c r="H320" s="66" t="s">
        <v>226</v>
      </c>
      <c r="I320" s="81">
        <f t="shared" si="1"/>
        <v>0.8697247706</v>
      </c>
      <c r="J320" s="81">
        <f t="shared" si="2"/>
        <v>0.5348380765</v>
      </c>
    </row>
    <row r="321">
      <c r="A321" s="82">
        <v>44663.0</v>
      </c>
      <c r="B321" s="66">
        <v>2371.0</v>
      </c>
      <c r="C321" s="66">
        <v>2.0</v>
      </c>
      <c r="D321" s="66" t="s">
        <v>204</v>
      </c>
      <c r="E321" s="66">
        <v>0.0</v>
      </c>
      <c r="F321" s="66">
        <v>0.907</v>
      </c>
      <c r="G321" s="66">
        <v>0.485</v>
      </c>
      <c r="H321" s="66" t="s">
        <v>227</v>
      </c>
      <c r="I321" s="81">
        <f t="shared" si="1"/>
        <v>0.8701030928</v>
      </c>
      <c r="J321" s="81">
        <f t="shared" si="2"/>
        <v>0.5347298787</v>
      </c>
    </row>
    <row r="322">
      <c r="A322" s="82">
        <v>44663.0</v>
      </c>
      <c r="B322" s="66">
        <v>2372.0</v>
      </c>
      <c r="C322" s="66">
        <v>1.0</v>
      </c>
      <c r="D322" s="66" t="s">
        <v>205</v>
      </c>
      <c r="E322" s="66">
        <v>0.0</v>
      </c>
      <c r="F322" s="66">
        <v>0.1685</v>
      </c>
      <c r="G322" s="66">
        <v>0.0901</v>
      </c>
      <c r="H322" s="66" t="s">
        <v>226</v>
      </c>
      <c r="I322" s="81">
        <f t="shared" si="1"/>
        <v>0.8701442841</v>
      </c>
      <c r="J322" s="81">
        <f t="shared" si="2"/>
        <v>0.5347181009</v>
      </c>
    </row>
    <row r="323">
      <c r="A323" s="82">
        <v>44663.0</v>
      </c>
      <c r="B323" s="66">
        <v>2372.0</v>
      </c>
      <c r="C323" s="66">
        <v>1.0</v>
      </c>
      <c r="D323" s="66" t="s">
        <v>204</v>
      </c>
      <c r="E323" s="66">
        <v>0.0</v>
      </c>
      <c r="F323" s="66">
        <v>0.563</v>
      </c>
      <c r="G323" s="66">
        <v>0.301</v>
      </c>
      <c r="H323" s="66" t="s">
        <v>227</v>
      </c>
      <c r="I323" s="81">
        <f t="shared" si="1"/>
        <v>0.8704318937</v>
      </c>
      <c r="J323" s="81">
        <f t="shared" si="2"/>
        <v>0.5346358792</v>
      </c>
    </row>
    <row r="324">
      <c r="A324" s="82">
        <v>44663.0</v>
      </c>
      <c r="B324" s="66">
        <v>2372.0</v>
      </c>
      <c r="C324" s="66">
        <v>2.0</v>
      </c>
      <c r="D324" s="66" t="s">
        <v>205</v>
      </c>
      <c r="E324" s="66">
        <v>0.0</v>
      </c>
      <c r="F324" s="66">
        <v>0.9334</v>
      </c>
      <c r="G324" s="66">
        <v>0.4988</v>
      </c>
      <c r="I324" s="81">
        <f t="shared" si="1"/>
        <v>0.8712910986</v>
      </c>
      <c r="J324" s="81">
        <f t="shared" si="2"/>
        <v>0.5343904007</v>
      </c>
    </row>
    <row r="325">
      <c r="A325" s="82">
        <v>44663.0</v>
      </c>
      <c r="B325" s="66">
        <v>2372.0</v>
      </c>
      <c r="C325" s="66">
        <v>2.0</v>
      </c>
      <c r="D325" s="66" t="s">
        <v>204</v>
      </c>
      <c r="E325" s="66">
        <v>0.0</v>
      </c>
      <c r="F325" s="66">
        <v>1.3081</v>
      </c>
      <c r="G325" s="66">
        <v>0.6988</v>
      </c>
      <c r="I325" s="81">
        <f t="shared" si="1"/>
        <v>0.8719232971</v>
      </c>
      <c r="J325" s="81">
        <f t="shared" si="2"/>
        <v>0.5342099228</v>
      </c>
    </row>
    <row r="326">
      <c r="A326" s="82">
        <v>44665.0</v>
      </c>
      <c r="B326" s="66">
        <v>1478.0</v>
      </c>
      <c r="C326" s="66">
        <v>1.0</v>
      </c>
      <c r="D326" s="66" t="s">
        <v>205</v>
      </c>
      <c r="E326" s="66">
        <v>0.0</v>
      </c>
      <c r="F326" s="66">
        <v>0.0936</v>
      </c>
      <c r="G326" s="66">
        <v>0.05</v>
      </c>
      <c r="H326" s="66" t="s">
        <v>231</v>
      </c>
      <c r="I326" s="81">
        <f t="shared" si="1"/>
        <v>0.872</v>
      </c>
      <c r="J326" s="81">
        <f t="shared" si="2"/>
        <v>0.5341880342</v>
      </c>
    </row>
    <row r="327">
      <c r="A327" s="82">
        <v>44665.0</v>
      </c>
      <c r="B327" s="66">
        <v>1478.0</v>
      </c>
      <c r="C327" s="66">
        <v>1.0</v>
      </c>
      <c r="D327" s="66" t="s">
        <v>204</v>
      </c>
      <c r="E327" s="66">
        <v>0.0</v>
      </c>
      <c r="F327" s="66">
        <v>0.3408</v>
      </c>
      <c r="G327" s="66">
        <v>0.182</v>
      </c>
      <c r="H327" s="66" t="s">
        <v>226</v>
      </c>
      <c r="I327" s="81">
        <f t="shared" si="1"/>
        <v>0.8725274725</v>
      </c>
      <c r="J327" s="81">
        <f t="shared" si="2"/>
        <v>0.5340375587</v>
      </c>
    </row>
    <row r="328">
      <c r="A328" s="82">
        <v>44665.0</v>
      </c>
      <c r="B328" s="66">
        <v>1478.0</v>
      </c>
      <c r="C328" s="66">
        <v>1.0</v>
      </c>
      <c r="D328" s="66" t="s">
        <v>204</v>
      </c>
      <c r="E328" s="66">
        <v>1.0</v>
      </c>
      <c r="F328" s="66">
        <v>0.4458</v>
      </c>
      <c r="G328" s="66">
        <v>0.238</v>
      </c>
      <c r="I328" s="81">
        <f t="shared" si="1"/>
        <v>0.8731092437</v>
      </c>
      <c r="J328" s="81">
        <f t="shared" si="2"/>
        <v>0.5338716913</v>
      </c>
    </row>
    <row r="329">
      <c r="A329" s="82">
        <v>44665.0</v>
      </c>
      <c r="B329" s="66">
        <v>2004.0</v>
      </c>
      <c r="C329" s="66">
        <v>1.0</v>
      </c>
      <c r="D329" s="66" t="s">
        <v>205</v>
      </c>
      <c r="E329" s="66">
        <v>0.0</v>
      </c>
      <c r="F329" s="66">
        <v>0.3383</v>
      </c>
      <c r="G329" s="66">
        <v>0.1805</v>
      </c>
      <c r="H329" s="66" t="s">
        <v>230</v>
      </c>
      <c r="I329" s="81">
        <f t="shared" si="1"/>
        <v>0.8742382271</v>
      </c>
      <c r="J329" s="81">
        <f t="shared" si="2"/>
        <v>0.5335501035</v>
      </c>
    </row>
    <row r="330">
      <c r="A330" s="82">
        <v>44665.0</v>
      </c>
      <c r="B330" s="66">
        <v>2004.0</v>
      </c>
      <c r="C330" s="66">
        <v>1.0</v>
      </c>
      <c r="D330" s="66" t="s">
        <v>205</v>
      </c>
      <c r="E330" s="66">
        <v>0.0</v>
      </c>
      <c r="F330" s="66">
        <v>0.975</v>
      </c>
      <c r="G330" s="66">
        <v>0.5202</v>
      </c>
      <c r="H330" s="66" t="s">
        <v>230</v>
      </c>
      <c r="I330" s="81">
        <f t="shared" si="1"/>
        <v>0.8742791234</v>
      </c>
      <c r="J330" s="81">
        <f t="shared" si="2"/>
        <v>0.5335384615</v>
      </c>
    </row>
    <row r="331">
      <c r="A331" s="82">
        <v>44665.0</v>
      </c>
      <c r="B331" s="66">
        <v>2004.0</v>
      </c>
      <c r="C331" s="66">
        <v>1.0</v>
      </c>
      <c r="D331" s="66" t="s">
        <v>204</v>
      </c>
      <c r="E331" s="66">
        <v>0.0</v>
      </c>
      <c r="F331" s="66">
        <v>0.686</v>
      </c>
      <c r="G331" s="66">
        <v>0.366</v>
      </c>
      <c r="I331" s="81">
        <f t="shared" si="1"/>
        <v>0.8743169399</v>
      </c>
      <c r="J331" s="81">
        <f t="shared" si="2"/>
        <v>0.5335276968</v>
      </c>
    </row>
    <row r="332">
      <c r="A332" s="82">
        <v>44665.0</v>
      </c>
      <c r="B332" s="66">
        <v>2004.0</v>
      </c>
      <c r="C332" s="66">
        <v>1.0</v>
      </c>
      <c r="D332" s="66" t="s">
        <v>204</v>
      </c>
      <c r="E332" s="66">
        <v>1.0</v>
      </c>
      <c r="F332" s="66">
        <v>2.4629</v>
      </c>
      <c r="G332" s="66">
        <v>1.314</v>
      </c>
      <c r="I332" s="81">
        <f t="shared" si="1"/>
        <v>0.8743531202</v>
      </c>
      <c r="J332" s="81">
        <f t="shared" si="2"/>
        <v>0.5335173982</v>
      </c>
    </row>
    <row r="333">
      <c r="A333" s="82">
        <v>44665.0</v>
      </c>
      <c r="B333" s="66">
        <v>2004.0</v>
      </c>
      <c r="C333" s="66">
        <v>2.0</v>
      </c>
      <c r="D333" s="66" t="s">
        <v>204</v>
      </c>
      <c r="E333" s="66">
        <v>0.0</v>
      </c>
      <c r="F333" s="66">
        <v>0.1106</v>
      </c>
      <c r="G333" s="66">
        <v>0.059</v>
      </c>
      <c r="I333" s="81">
        <f t="shared" si="1"/>
        <v>0.8745762712</v>
      </c>
      <c r="J333" s="81">
        <f t="shared" si="2"/>
        <v>0.5334538879</v>
      </c>
    </row>
    <row r="334">
      <c r="A334" s="82">
        <v>44665.0</v>
      </c>
      <c r="B334" s="66">
        <v>2004.0</v>
      </c>
      <c r="C334" s="66">
        <v>2.0</v>
      </c>
      <c r="D334" s="66" t="s">
        <v>204</v>
      </c>
      <c r="E334" s="66">
        <v>1.0</v>
      </c>
      <c r="F334" s="66">
        <v>2.5116</v>
      </c>
      <c r="G334" s="66">
        <v>1.3398</v>
      </c>
      <c r="I334" s="81">
        <f t="shared" si="1"/>
        <v>0.8746081505</v>
      </c>
      <c r="J334" s="81">
        <f t="shared" si="2"/>
        <v>0.5334448161</v>
      </c>
    </row>
    <row r="335">
      <c r="A335" s="82">
        <v>44665.0</v>
      </c>
      <c r="B335" s="66">
        <v>2005.0</v>
      </c>
      <c r="C335" s="66">
        <v>1.0</v>
      </c>
      <c r="D335" s="66" t="s">
        <v>205</v>
      </c>
      <c r="E335" s="66">
        <v>0.0</v>
      </c>
      <c r="F335" s="66">
        <v>0.4009</v>
      </c>
      <c r="G335" s="66">
        <v>0.2138</v>
      </c>
      <c r="H335" s="66" t="s">
        <v>226</v>
      </c>
      <c r="I335" s="81">
        <f t="shared" si="1"/>
        <v>0.8751169317</v>
      </c>
      <c r="J335" s="81">
        <f t="shared" si="2"/>
        <v>0.5333000748</v>
      </c>
    </row>
    <row r="336">
      <c r="A336" s="82">
        <v>44665.0</v>
      </c>
      <c r="B336" s="66">
        <v>2005.0</v>
      </c>
      <c r="C336" s="66">
        <v>1.0</v>
      </c>
      <c r="D336" s="66" t="s">
        <v>204</v>
      </c>
      <c r="E336" s="66">
        <v>0.0</v>
      </c>
      <c r="F336" s="66">
        <v>1.4545</v>
      </c>
      <c r="G336" s="66">
        <v>0.775</v>
      </c>
      <c r="H336" s="66" t="s">
        <v>227</v>
      </c>
      <c r="I336" s="81">
        <f t="shared" si="1"/>
        <v>0.8767741935</v>
      </c>
      <c r="J336" s="81">
        <f t="shared" si="2"/>
        <v>0.5328291509</v>
      </c>
    </row>
    <row r="337">
      <c r="A337" s="82">
        <v>44665.0</v>
      </c>
      <c r="B337" s="66">
        <v>2005.0</v>
      </c>
      <c r="C337" s="66">
        <v>1.0</v>
      </c>
      <c r="D337" s="66" t="s">
        <v>204</v>
      </c>
      <c r="E337" s="66">
        <v>1.0</v>
      </c>
      <c r="F337" s="66">
        <v>0.4449</v>
      </c>
      <c r="G337" s="66">
        <v>0.237</v>
      </c>
      <c r="I337" s="81">
        <f t="shared" si="1"/>
        <v>0.8772151899</v>
      </c>
      <c r="J337" s="81">
        <f t="shared" si="2"/>
        <v>0.5327039784</v>
      </c>
    </row>
    <row r="338">
      <c r="A338" s="82">
        <v>44665.0</v>
      </c>
      <c r="B338" s="66">
        <v>2007.0</v>
      </c>
      <c r="C338" s="66">
        <v>1.0</v>
      </c>
      <c r="D338" s="66" t="s">
        <v>205</v>
      </c>
      <c r="E338" s="66">
        <v>0.0</v>
      </c>
      <c r="F338" s="66">
        <v>0.2855</v>
      </c>
      <c r="G338" s="66">
        <v>0.152</v>
      </c>
      <c r="H338" s="66" t="s">
        <v>226</v>
      </c>
      <c r="I338" s="81">
        <f t="shared" si="1"/>
        <v>0.8782894737</v>
      </c>
      <c r="J338" s="81">
        <f t="shared" si="2"/>
        <v>0.5323992995</v>
      </c>
    </row>
    <row r="339">
      <c r="A339" s="82">
        <v>44665.0</v>
      </c>
      <c r="B339" s="66">
        <v>2007.0</v>
      </c>
      <c r="C339" s="66">
        <v>1.0</v>
      </c>
      <c r="D339" s="66" t="s">
        <v>204</v>
      </c>
      <c r="E339" s="66">
        <v>0.0</v>
      </c>
      <c r="F339" s="66">
        <v>0.062</v>
      </c>
      <c r="G339" s="66">
        <v>0.033</v>
      </c>
      <c r="H339" s="66" t="s">
        <v>227</v>
      </c>
      <c r="I339" s="81">
        <f t="shared" si="1"/>
        <v>0.8787878788</v>
      </c>
      <c r="J339" s="81">
        <f t="shared" si="2"/>
        <v>0.5322580645</v>
      </c>
    </row>
    <row r="340">
      <c r="A340" s="82">
        <v>44665.0</v>
      </c>
      <c r="B340" s="66">
        <v>2007.0</v>
      </c>
      <c r="C340" s="66">
        <v>1.0</v>
      </c>
      <c r="D340" s="66" t="s">
        <v>204</v>
      </c>
      <c r="E340" s="66">
        <v>1.0</v>
      </c>
      <c r="F340" s="66">
        <v>0.2161</v>
      </c>
      <c r="G340" s="66">
        <v>0.115</v>
      </c>
      <c r="I340" s="81">
        <f t="shared" si="1"/>
        <v>0.8791304348</v>
      </c>
      <c r="J340" s="81">
        <f t="shared" si="2"/>
        <v>0.5321610366</v>
      </c>
    </row>
    <row r="341">
      <c r="A341" s="82">
        <v>44665.0</v>
      </c>
      <c r="B341" s="66">
        <v>2007.0</v>
      </c>
      <c r="C341" s="66">
        <v>2.0</v>
      </c>
      <c r="D341" s="66" t="s">
        <v>205</v>
      </c>
      <c r="E341" s="66">
        <v>0.0</v>
      </c>
      <c r="F341" s="66">
        <v>0.1996</v>
      </c>
      <c r="G341" s="66">
        <v>0.1062</v>
      </c>
      <c r="H341" s="66" t="s">
        <v>226</v>
      </c>
      <c r="I341" s="81">
        <f t="shared" si="1"/>
        <v>0.879472693</v>
      </c>
      <c r="J341" s="81">
        <f t="shared" si="2"/>
        <v>0.5320641283</v>
      </c>
    </row>
    <row r="342">
      <c r="A342" s="82">
        <v>44665.0</v>
      </c>
      <c r="B342" s="66">
        <v>2007.0</v>
      </c>
      <c r="C342" s="66">
        <v>2.0</v>
      </c>
      <c r="D342" s="66" t="s">
        <v>204</v>
      </c>
      <c r="E342" s="66">
        <v>0.0</v>
      </c>
      <c r="F342" s="66">
        <v>0.0733</v>
      </c>
      <c r="G342" s="66">
        <v>0.039</v>
      </c>
      <c r="I342" s="81">
        <f t="shared" si="1"/>
        <v>0.8794871795</v>
      </c>
      <c r="J342" s="81">
        <f t="shared" si="2"/>
        <v>0.5320600273</v>
      </c>
    </row>
    <row r="343">
      <c r="A343" s="82">
        <v>44665.0</v>
      </c>
      <c r="B343" s="66">
        <v>2007.0</v>
      </c>
      <c r="C343" s="66">
        <v>2.0</v>
      </c>
      <c r="D343" s="66" t="s">
        <v>204</v>
      </c>
      <c r="E343" s="66">
        <v>1.0</v>
      </c>
      <c r="F343" s="66">
        <v>0.6992</v>
      </c>
      <c r="G343" s="66">
        <v>0.3719</v>
      </c>
      <c r="I343" s="81">
        <f t="shared" si="1"/>
        <v>0.8800752891</v>
      </c>
      <c r="J343" s="81">
        <f t="shared" si="2"/>
        <v>0.5318935927</v>
      </c>
    </row>
    <row r="344">
      <c r="A344" s="82">
        <v>44665.0</v>
      </c>
      <c r="B344" s="66">
        <v>2009.0</v>
      </c>
      <c r="C344" s="66">
        <v>1.0</v>
      </c>
      <c r="D344" s="66" t="s">
        <v>205</v>
      </c>
      <c r="E344" s="66">
        <v>0.0</v>
      </c>
      <c r="F344" s="66">
        <v>0.4851</v>
      </c>
      <c r="G344" s="66">
        <v>0.258</v>
      </c>
      <c r="H344" s="66" t="s">
        <v>227</v>
      </c>
      <c r="I344" s="81">
        <f t="shared" si="1"/>
        <v>0.8802325581</v>
      </c>
      <c r="J344" s="81">
        <f t="shared" si="2"/>
        <v>0.5318491033</v>
      </c>
    </row>
    <row r="345">
      <c r="A345" s="82">
        <v>44665.0</v>
      </c>
      <c r="B345" s="66">
        <v>2009.0</v>
      </c>
      <c r="C345" s="66">
        <v>1.0</v>
      </c>
      <c r="D345" s="66" t="s">
        <v>204</v>
      </c>
      <c r="E345" s="66">
        <v>0.0</v>
      </c>
      <c r="F345" s="66">
        <v>0.284</v>
      </c>
      <c r="G345" s="66">
        <v>0.151</v>
      </c>
      <c r="H345" s="66" t="s">
        <v>227</v>
      </c>
      <c r="I345" s="81">
        <f t="shared" si="1"/>
        <v>0.880794702</v>
      </c>
      <c r="J345" s="81">
        <f t="shared" si="2"/>
        <v>0.5316901408</v>
      </c>
    </row>
    <row r="346">
      <c r="A346" s="82">
        <v>44665.0</v>
      </c>
      <c r="B346" s="66">
        <v>2010.0</v>
      </c>
      <c r="C346" s="66">
        <v>1.0</v>
      </c>
      <c r="D346" s="66" t="s">
        <v>205</v>
      </c>
      <c r="E346" s="66">
        <v>0.0</v>
      </c>
      <c r="F346" s="66">
        <v>0.365</v>
      </c>
      <c r="G346" s="66">
        <v>0.194</v>
      </c>
      <c r="H346" s="66" t="s">
        <v>227</v>
      </c>
      <c r="I346" s="81">
        <f t="shared" si="1"/>
        <v>0.881443299</v>
      </c>
      <c r="J346" s="81">
        <f t="shared" si="2"/>
        <v>0.5315068493</v>
      </c>
    </row>
    <row r="347">
      <c r="A347" s="82">
        <v>44665.0</v>
      </c>
      <c r="B347" s="66">
        <v>2010.0</v>
      </c>
      <c r="C347" s="66">
        <v>1.0</v>
      </c>
      <c r="D347" s="66" t="s">
        <v>204</v>
      </c>
      <c r="E347" s="66">
        <v>0.0</v>
      </c>
      <c r="F347" s="66">
        <v>0.1613</v>
      </c>
      <c r="G347" s="66">
        <v>0.0857</v>
      </c>
      <c r="H347" s="66" t="s">
        <v>230</v>
      </c>
      <c r="I347" s="81">
        <f t="shared" si="1"/>
        <v>0.8821470245</v>
      </c>
      <c r="J347" s="81">
        <f t="shared" si="2"/>
        <v>0.5313081215</v>
      </c>
    </row>
    <row r="348">
      <c r="A348" s="82">
        <v>44665.0</v>
      </c>
      <c r="B348" s="66">
        <v>2010.0</v>
      </c>
      <c r="C348" s="66">
        <v>1.0</v>
      </c>
      <c r="D348" s="66" t="s">
        <v>204</v>
      </c>
      <c r="E348" s="66">
        <v>1.0</v>
      </c>
      <c r="F348" s="66">
        <v>0.064</v>
      </c>
      <c r="G348" s="66">
        <v>0.034</v>
      </c>
      <c r="H348" s="66" t="s">
        <v>227</v>
      </c>
      <c r="I348" s="81">
        <f t="shared" si="1"/>
        <v>0.8823529412</v>
      </c>
      <c r="J348" s="81">
        <f t="shared" si="2"/>
        <v>0.53125</v>
      </c>
    </row>
    <row r="349">
      <c r="A349" s="82">
        <v>44665.0</v>
      </c>
      <c r="B349" s="66">
        <v>2010.0</v>
      </c>
      <c r="C349" s="66">
        <v>2.0</v>
      </c>
      <c r="D349" s="66" t="s">
        <v>205</v>
      </c>
      <c r="E349" s="66">
        <v>0.0</v>
      </c>
      <c r="F349" s="66">
        <v>0.3521</v>
      </c>
      <c r="G349" s="66">
        <v>0.187</v>
      </c>
      <c r="H349" s="66" t="s">
        <v>227</v>
      </c>
      <c r="I349" s="81">
        <f t="shared" si="1"/>
        <v>0.8828877005</v>
      </c>
      <c r="J349" s="81">
        <f t="shared" si="2"/>
        <v>0.5310991196</v>
      </c>
    </row>
    <row r="350">
      <c r="A350" s="82">
        <v>44665.0</v>
      </c>
      <c r="B350" s="66">
        <v>2010.0</v>
      </c>
      <c r="C350" s="66">
        <v>2.0</v>
      </c>
      <c r="D350" s="66" t="s">
        <v>204</v>
      </c>
      <c r="E350" s="66">
        <v>0.0</v>
      </c>
      <c r="F350" s="66">
        <v>0.1356</v>
      </c>
      <c r="G350" s="66">
        <v>0.072</v>
      </c>
      <c r="H350" s="66" t="s">
        <v>230</v>
      </c>
      <c r="I350" s="81">
        <f t="shared" si="1"/>
        <v>0.8833333333</v>
      </c>
      <c r="J350" s="81">
        <f t="shared" si="2"/>
        <v>0.5309734513</v>
      </c>
    </row>
    <row r="351">
      <c r="A351" s="82">
        <v>44665.0</v>
      </c>
      <c r="B351" s="66">
        <v>2010.0</v>
      </c>
      <c r="C351" s="66">
        <v>2.0</v>
      </c>
      <c r="D351" s="66" t="s">
        <v>204</v>
      </c>
      <c r="E351" s="66">
        <v>1.0</v>
      </c>
      <c r="F351" s="66">
        <v>0.275</v>
      </c>
      <c r="G351" s="66">
        <v>0.146</v>
      </c>
      <c r="I351" s="81">
        <f t="shared" si="1"/>
        <v>0.8835616438</v>
      </c>
      <c r="J351" s="81">
        <f t="shared" si="2"/>
        <v>0.5309090909</v>
      </c>
    </row>
    <row r="352">
      <c r="A352" s="82">
        <v>44665.0</v>
      </c>
      <c r="B352" s="66">
        <v>2011.0</v>
      </c>
      <c r="C352" s="66">
        <v>1.0</v>
      </c>
      <c r="D352" s="66" t="s">
        <v>205</v>
      </c>
      <c r="E352" s="66">
        <v>0.0</v>
      </c>
      <c r="F352" s="66">
        <v>1.8934</v>
      </c>
      <c r="G352" s="66">
        <v>1.0049</v>
      </c>
      <c r="I352" s="81">
        <f t="shared" si="1"/>
        <v>0.8841675789</v>
      </c>
      <c r="J352" s="81">
        <f t="shared" si="2"/>
        <v>0.5307383543</v>
      </c>
    </row>
    <row r="353">
      <c r="A353" s="82">
        <v>44665.0</v>
      </c>
      <c r="B353" s="66">
        <v>2011.0</v>
      </c>
      <c r="C353" s="66">
        <v>1.0</v>
      </c>
      <c r="D353" s="66" t="s">
        <v>204</v>
      </c>
      <c r="E353" s="66">
        <v>0.0</v>
      </c>
      <c r="F353" s="66">
        <v>0.3379</v>
      </c>
      <c r="G353" s="66">
        <v>0.1793</v>
      </c>
      <c r="I353" s="81">
        <f t="shared" si="1"/>
        <v>0.8845510318</v>
      </c>
      <c r="J353" s="81">
        <f t="shared" si="2"/>
        <v>0.530630364</v>
      </c>
    </row>
    <row r="354">
      <c r="A354" s="82">
        <v>44665.0</v>
      </c>
      <c r="B354" s="66">
        <v>2011.0</v>
      </c>
      <c r="C354" s="66">
        <v>1.0</v>
      </c>
      <c r="D354" s="66" t="s">
        <v>204</v>
      </c>
      <c r="E354" s="66">
        <v>1.0</v>
      </c>
      <c r="F354" s="66">
        <v>1.361</v>
      </c>
      <c r="G354" s="66">
        <v>0.722</v>
      </c>
      <c r="H354" s="66" t="s">
        <v>227</v>
      </c>
      <c r="I354" s="81">
        <f t="shared" si="1"/>
        <v>0.8850415512</v>
      </c>
      <c r="J354" s="81">
        <f t="shared" si="2"/>
        <v>0.5304922851</v>
      </c>
    </row>
    <row r="355">
      <c r="A355" s="82">
        <v>44665.0</v>
      </c>
      <c r="B355" s="66">
        <v>2012.0</v>
      </c>
      <c r="C355" s="66">
        <v>1.0</v>
      </c>
      <c r="D355" s="66" t="s">
        <v>205</v>
      </c>
      <c r="E355" s="66">
        <v>0.0</v>
      </c>
      <c r="F355" s="66">
        <v>0.0509</v>
      </c>
      <c r="G355" s="66">
        <v>0.027</v>
      </c>
      <c r="I355" s="81">
        <f t="shared" si="1"/>
        <v>0.8851851852</v>
      </c>
      <c r="J355" s="81">
        <f t="shared" si="2"/>
        <v>0.5304518664</v>
      </c>
    </row>
    <row r="356">
      <c r="A356" s="82">
        <v>44665.0</v>
      </c>
      <c r="B356" s="66">
        <v>2012.0</v>
      </c>
      <c r="C356" s="66">
        <v>1.0</v>
      </c>
      <c r="D356" s="66" t="s">
        <v>204</v>
      </c>
      <c r="E356" s="66">
        <v>0.0</v>
      </c>
      <c r="F356" s="66">
        <v>0.2319</v>
      </c>
      <c r="G356" s="66">
        <v>0.123</v>
      </c>
      <c r="I356" s="81">
        <f t="shared" si="1"/>
        <v>0.8853658537</v>
      </c>
      <c r="J356" s="81">
        <f t="shared" si="2"/>
        <v>0.5304010349</v>
      </c>
    </row>
    <row r="357">
      <c r="A357" s="82">
        <v>44665.0</v>
      </c>
      <c r="B357" s="66">
        <v>2012.0</v>
      </c>
      <c r="C357" s="66">
        <v>1.0</v>
      </c>
      <c r="D357" s="66" t="s">
        <v>204</v>
      </c>
      <c r="E357" s="66">
        <v>1.0</v>
      </c>
      <c r="F357" s="66">
        <v>1.12</v>
      </c>
      <c r="G357" s="66">
        <v>0.594</v>
      </c>
      <c r="H357" s="66" t="s">
        <v>227</v>
      </c>
      <c r="I357" s="81">
        <f t="shared" si="1"/>
        <v>0.8855218855</v>
      </c>
      <c r="J357" s="81">
        <f t="shared" si="2"/>
        <v>0.5303571429</v>
      </c>
    </row>
    <row r="358">
      <c r="A358" s="82">
        <v>44665.0</v>
      </c>
      <c r="B358" s="66">
        <v>2012.0</v>
      </c>
      <c r="C358" s="66">
        <v>2.0</v>
      </c>
      <c r="D358" s="66" t="s">
        <v>205</v>
      </c>
      <c r="E358" s="66">
        <v>0.0</v>
      </c>
      <c r="F358" s="66">
        <v>0.3715</v>
      </c>
      <c r="G358" s="66">
        <v>0.197</v>
      </c>
      <c r="H358" s="66" t="s">
        <v>227</v>
      </c>
      <c r="I358" s="81">
        <f t="shared" si="1"/>
        <v>0.885786802</v>
      </c>
      <c r="J358" s="81">
        <f t="shared" si="2"/>
        <v>0.530282638</v>
      </c>
    </row>
    <row r="359">
      <c r="A359" s="82">
        <v>44665.0</v>
      </c>
      <c r="B359" s="66">
        <v>2012.0</v>
      </c>
      <c r="C359" s="66">
        <v>2.0</v>
      </c>
      <c r="D359" s="66" t="s">
        <v>204</v>
      </c>
      <c r="E359" s="66">
        <v>0.0</v>
      </c>
      <c r="F359" s="66">
        <v>0.1752</v>
      </c>
      <c r="G359" s="66">
        <v>0.0929</v>
      </c>
      <c r="I359" s="81">
        <f t="shared" si="1"/>
        <v>0.8858988159</v>
      </c>
      <c r="J359" s="81">
        <f t="shared" si="2"/>
        <v>0.5302511416</v>
      </c>
    </row>
    <row r="360">
      <c r="A360" s="82">
        <v>44665.0</v>
      </c>
      <c r="B360" s="66">
        <v>2012.0</v>
      </c>
      <c r="C360" s="66">
        <v>2.0</v>
      </c>
      <c r="D360" s="66" t="s">
        <v>204</v>
      </c>
      <c r="E360" s="66">
        <v>1.0</v>
      </c>
      <c r="F360" s="66">
        <v>1.2975</v>
      </c>
      <c r="G360" s="66">
        <v>0.688</v>
      </c>
      <c r="I360" s="81">
        <f t="shared" si="1"/>
        <v>0.8859011628</v>
      </c>
      <c r="J360" s="81">
        <f t="shared" si="2"/>
        <v>0.5302504817</v>
      </c>
    </row>
    <row r="361">
      <c r="A361" s="82">
        <v>44665.0</v>
      </c>
      <c r="B361" s="66">
        <v>2012.0</v>
      </c>
      <c r="C361" s="66">
        <v>3.0</v>
      </c>
      <c r="D361" s="66" t="s">
        <v>205</v>
      </c>
      <c r="E361" s="66">
        <v>0.0</v>
      </c>
      <c r="F361" s="66">
        <v>0.0943</v>
      </c>
      <c r="G361" s="66">
        <v>0.05</v>
      </c>
      <c r="I361" s="81">
        <f t="shared" si="1"/>
        <v>0.886</v>
      </c>
      <c r="J361" s="81">
        <f t="shared" si="2"/>
        <v>0.5302226935</v>
      </c>
    </row>
    <row r="362">
      <c r="A362" s="82">
        <v>44665.0</v>
      </c>
      <c r="B362" s="66">
        <v>2012.0</v>
      </c>
      <c r="C362" s="66">
        <v>3.0</v>
      </c>
      <c r="D362" s="66" t="s">
        <v>204</v>
      </c>
      <c r="E362" s="66">
        <v>0.0</v>
      </c>
      <c r="F362" s="66">
        <v>0.715</v>
      </c>
      <c r="G362" s="66">
        <v>0.3791</v>
      </c>
      <c r="I362" s="81">
        <f t="shared" si="1"/>
        <v>0.8860458982</v>
      </c>
      <c r="J362" s="81">
        <f t="shared" si="2"/>
        <v>0.5302097902</v>
      </c>
    </row>
    <row r="363">
      <c r="A363" s="82">
        <v>44665.0</v>
      </c>
      <c r="B363" s="66">
        <v>2012.0</v>
      </c>
      <c r="C363" s="66">
        <v>3.0</v>
      </c>
      <c r="D363" s="66" t="s">
        <v>204</v>
      </c>
      <c r="E363" s="66">
        <v>1.0</v>
      </c>
      <c r="F363" s="66">
        <v>0.1292</v>
      </c>
      <c r="G363" s="66">
        <v>0.0685</v>
      </c>
      <c r="I363" s="81">
        <f t="shared" si="1"/>
        <v>0.8861313869</v>
      </c>
      <c r="J363" s="81">
        <f t="shared" si="2"/>
        <v>0.5301857585</v>
      </c>
    </row>
    <row r="364">
      <c r="A364" s="82">
        <v>44665.0</v>
      </c>
      <c r="B364" s="66">
        <v>2013.0</v>
      </c>
      <c r="C364" s="66">
        <v>1.0</v>
      </c>
      <c r="D364" s="66" t="s">
        <v>205</v>
      </c>
      <c r="E364" s="66">
        <v>0.0</v>
      </c>
      <c r="F364" s="66">
        <v>0.5338</v>
      </c>
      <c r="G364" s="66">
        <v>0.283</v>
      </c>
      <c r="H364" s="66" t="s">
        <v>227</v>
      </c>
      <c r="I364" s="81">
        <f t="shared" si="1"/>
        <v>0.8862190813</v>
      </c>
      <c r="J364" s="81">
        <f t="shared" si="2"/>
        <v>0.530161109</v>
      </c>
    </row>
    <row r="365">
      <c r="A365" s="82">
        <v>44665.0</v>
      </c>
      <c r="B365" s="66">
        <v>2013.0</v>
      </c>
      <c r="C365" s="66">
        <v>1.0</v>
      </c>
      <c r="D365" s="66" t="s">
        <v>204</v>
      </c>
      <c r="E365" s="66">
        <v>0.0</v>
      </c>
      <c r="F365" s="66">
        <v>0.302</v>
      </c>
      <c r="G365" s="66">
        <v>0.1601</v>
      </c>
      <c r="H365" s="66" t="s">
        <v>230</v>
      </c>
      <c r="I365" s="81">
        <f t="shared" si="1"/>
        <v>0.8863210493</v>
      </c>
      <c r="J365" s="81">
        <f t="shared" si="2"/>
        <v>0.5301324503</v>
      </c>
    </row>
    <row r="366">
      <c r="A366" s="82">
        <v>44665.0</v>
      </c>
      <c r="B366" s="66">
        <v>2013.0</v>
      </c>
      <c r="C366" s="66">
        <v>1.0</v>
      </c>
      <c r="D366" s="66" t="s">
        <v>204</v>
      </c>
      <c r="E366" s="66">
        <v>1.0</v>
      </c>
      <c r="F366" s="66">
        <v>0.3454</v>
      </c>
      <c r="G366" s="66">
        <v>0.183</v>
      </c>
      <c r="H366" s="66" t="s">
        <v>226</v>
      </c>
      <c r="I366" s="81">
        <f t="shared" si="1"/>
        <v>0.887431694</v>
      </c>
      <c r="J366" s="81">
        <f t="shared" si="2"/>
        <v>0.529820498</v>
      </c>
    </row>
    <row r="367">
      <c r="A367" s="82">
        <v>44665.0</v>
      </c>
      <c r="B367" s="66">
        <v>2013.0</v>
      </c>
      <c r="C367" s="66">
        <v>2.0</v>
      </c>
      <c r="D367" s="66" t="s">
        <v>205</v>
      </c>
      <c r="E367" s="66">
        <v>1.0</v>
      </c>
      <c r="F367" s="66">
        <v>0.1148</v>
      </c>
      <c r="G367" s="66">
        <v>0.0608</v>
      </c>
      <c r="H367" s="66" t="s">
        <v>230</v>
      </c>
      <c r="I367" s="81">
        <f t="shared" si="1"/>
        <v>0.8881578947</v>
      </c>
      <c r="J367" s="81">
        <f t="shared" si="2"/>
        <v>0.5296167247</v>
      </c>
    </row>
    <row r="368">
      <c r="A368" s="82">
        <v>44665.0</v>
      </c>
      <c r="B368" s="66">
        <v>2013.0</v>
      </c>
      <c r="C368" s="66">
        <v>2.0</v>
      </c>
      <c r="D368" s="66" t="s">
        <v>204</v>
      </c>
      <c r="E368" s="66">
        <v>0.0</v>
      </c>
      <c r="F368" s="66">
        <v>1.4549</v>
      </c>
      <c r="G368" s="66">
        <v>0.7705</v>
      </c>
      <c r="H368" s="66" t="s">
        <v>230</v>
      </c>
      <c r="I368" s="81">
        <f t="shared" si="1"/>
        <v>0.8882543803</v>
      </c>
      <c r="J368" s="81">
        <f t="shared" si="2"/>
        <v>0.5295896625</v>
      </c>
    </row>
    <row r="369">
      <c r="A369" s="82">
        <v>44665.0</v>
      </c>
      <c r="B369" s="66">
        <v>2020.0</v>
      </c>
      <c r="C369" s="66">
        <v>1.0</v>
      </c>
      <c r="D369" s="66" t="s">
        <v>205</v>
      </c>
      <c r="E369" s="66">
        <v>1.0</v>
      </c>
      <c r="F369" s="66">
        <v>0.1322</v>
      </c>
      <c r="G369" s="66">
        <v>0.07</v>
      </c>
      <c r="H369" s="66" t="s">
        <v>226</v>
      </c>
      <c r="I369" s="81">
        <f t="shared" si="1"/>
        <v>0.8885714286</v>
      </c>
      <c r="J369" s="81">
        <f t="shared" si="2"/>
        <v>0.5295007564</v>
      </c>
    </row>
    <row r="370">
      <c r="A370" s="82">
        <v>44665.0</v>
      </c>
      <c r="B370" s="66">
        <v>2020.0</v>
      </c>
      <c r="C370" s="66">
        <v>1.0</v>
      </c>
      <c r="D370" s="66" t="s">
        <v>204</v>
      </c>
      <c r="E370" s="66">
        <v>0.0</v>
      </c>
      <c r="F370" s="66">
        <v>1.6911</v>
      </c>
      <c r="G370" s="66">
        <v>0.895</v>
      </c>
      <c r="I370" s="81">
        <f t="shared" si="1"/>
        <v>0.8894972067</v>
      </c>
      <c r="J370" s="81">
        <f t="shared" si="2"/>
        <v>0.5292413222</v>
      </c>
    </row>
    <row r="371">
      <c r="A371" s="82">
        <v>44665.0</v>
      </c>
      <c r="B371" s="66">
        <v>2020.0</v>
      </c>
      <c r="C371" s="66">
        <v>1.0</v>
      </c>
      <c r="D371" s="66" t="s">
        <v>204</v>
      </c>
      <c r="E371" s="66">
        <v>1.0</v>
      </c>
      <c r="F371" s="66">
        <v>1.1546</v>
      </c>
      <c r="G371" s="66">
        <v>0.611</v>
      </c>
      <c r="H371" s="66" t="s">
        <v>227</v>
      </c>
      <c r="I371" s="81">
        <f t="shared" si="1"/>
        <v>0.8896890344</v>
      </c>
      <c r="J371" s="81">
        <f t="shared" si="2"/>
        <v>0.5291875974</v>
      </c>
    </row>
    <row r="372">
      <c r="A372" s="82">
        <v>44665.0</v>
      </c>
      <c r="B372" s="66">
        <v>2020.0</v>
      </c>
      <c r="C372" s="66">
        <v>2.0</v>
      </c>
      <c r="D372" s="66" t="s">
        <v>205</v>
      </c>
      <c r="E372" s="66">
        <v>0.0</v>
      </c>
      <c r="F372" s="66">
        <v>0.1565</v>
      </c>
      <c r="G372" s="66">
        <v>0.0828</v>
      </c>
      <c r="I372" s="81">
        <f t="shared" si="1"/>
        <v>0.8900966184</v>
      </c>
      <c r="J372" s="81">
        <f t="shared" si="2"/>
        <v>0.5290734824</v>
      </c>
    </row>
    <row r="373">
      <c r="A373" s="82">
        <v>44665.0</v>
      </c>
      <c r="B373" s="66">
        <v>2020.0</v>
      </c>
      <c r="C373" s="66">
        <v>2.0</v>
      </c>
      <c r="D373" s="66" t="s">
        <v>204</v>
      </c>
      <c r="E373" s="66">
        <v>0.0</v>
      </c>
      <c r="F373" s="66">
        <v>0.2666</v>
      </c>
      <c r="G373" s="66">
        <v>0.141</v>
      </c>
      <c r="H373" s="66" t="s">
        <v>227</v>
      </c>
      <c r="I373" s="81">
        <f t="shared" si="1"/>
        <v>0.8907801418</v>
      </c>
      <c r="J373" s="81">
        <f t="shared" si="2"/>
        <v>0.5288822206</v>
      </c>
    </row>
    <row r="374">
      <c r="A374" s="82">
        <v>44665.0</v>
      </c>
      <c r="B374" s="66">
        <v>2020.0</v>
      </c>
      <c r="C374" s="66">
        <v>2.0</v>
      </c>
      <c r="D374" s="66" t="s">
        <v>204</v>
      </c>
      <c r="E374" s="66">
        <v>1.0</v>
      </c>
      <c r="F374" s="66">
        <v>1.1453</v>
      </c>
      <c r="G374" s="66">
        <v>0.6056</v>
      </c>
      <c r="H374" s="66" t="s">
        <v>230</v>
      </c>
      <c r="I374" s="81">
        <f t="shared" si="1"/>
        <v>0.8911822985</v>
      </c>
      <c r="J374" s="81">
        <f t="shared" si="2"/>
        <v>0.5287697546</v>
      </c>
    </row>
    <row r="375">
      <c r="A375" s="82">
        <v>44665.0</v>
      </c>
      <c r="B375" s="66">
        <v>2021.0</v>
      </c>
      <c r="C375" s="66">
        <v>1.0</v>
      </c>
      <c r="D375" s="66" t="s">
        <v>205</v>
      </c>
      <c r="E375" s="66">
        <v>0.0</v>
      </c>
      <c r="F375" s="66">
        <v>0.1937</v>
      </c>
      <c r="G375" s="66">
        <v>0.1024</v>
      </c>
      <c r="H375" s="66" t="s">
        <v>230</v>
      </c>
      <c r="I375" s="81">
        <f t="shared" si="1"/>
        <v>0.8916015625</v>
      </c>
      <c r="J375" s="81">
        <f t="shared" si="2"/>
        <v>0.5286525555</v>
      </c>
    </row>
    <row r="376">
      <c r="A376" s="82">
        <v>44665.0</v>
      </c>
      <c r="B376" s="66">
        <v>2021.0</v>
      </c>
      <c r="C376" s="66">
        <v>1.0</v>
      </c>
      <c r="D376" s="66" t="s">
        <v>204</v>
      </c>
      <c r="E376" s="66">
        <v>0.0</v>
      </c>
      <c r="F376" s="66">
        <v>0.384</v>
      </c>
      <c r="G376" s="66">
        <v>0.203</v>
      </c>
      <c r="I376" s="81">
        <f t="shared" si="1"/>
        <v>0.8916256158</v>
      </c>
      <c r="J376" s="81">
        <f t="shared" si="2"/>
        <v>0.5286458333</v>
      </c>
    </row>
    <row r="377">
      <c r="A377" s="82">
        <v>44665.0</v>
      </c>
      <c r="B377" s="66">
        <v>2021.0</v>
      </c>
      <c r="C377" s="66">
        <v>1.0</v>
      </c>
      <c r="D377" s="66" t="s">
        <v>204</v>
      </c>
      <c r="E377" s="66">
        <v>1.0</v>
      </c>
      <c r="F377" s="66">
        <v>0.2036</v>
      </c>
      <c r="G377" s="66">
        <v>0.1076</v>
      </c>
      <c r="H377" s="66" t="s">
        <v>227</v>
      </c>
      <c r="I377" s="81">
        <f t="shared" si="1"/>
        <v>0.8921933086</v>
      </c>
      <c r="J377" s="81">
        <f t="shared" si="2"/>
        <v>0.5284872299</v>
      </c>
    </row>
    <row r="378">
      <c r="A378" s="82">
        <v>44665.0</v>
      </c>
      <c r="B378" s="66">
        <v>2025.0</v>
      </c>
      <c r="C378" s="66">
        <v>1.0</v>
      </c>
      <c r="D378" s="66" t="s">
        <v>205</v>
      </c>
      <c r="E378" s="66">
        <v>0.0</v>
      </c>
      <c r="F378" s="66">
        <v>0.2059</v>
      </c>
      <c r="G378" s="66">
        <v>0.1088</v>
      </c>
      <c r="I378" s="81">
        <f t="shared" si="1"/>
        <v>0.8924632353</v>
      </c>
      <c r="J378" s="81">
        <f t="shared" si="2"/>
        <v>0.5284118504</v>
      </c>
    </row>
    <row r="379">
      <c r="A379" s="82">
        <v>44665.0</v>
      </c>
      <c r="B379" s="66">
        <v>2025.0</v>
      </c>
      <c r="C379" s="66">
        <v>1.0</v>
      </c>
      <c r="D379" s="66" t="s">
        <v>204</v>
      </c>
      <c r="E379" s="66">
        <v>0.0</v>
      </c>
      <c r="F379" s="66">
        <v>0.3074</v>
      </c>
      <c r="G379" s="66">
        <v>0.1624</v>
      </c>
      <c r="H379" s="66" t="s">
        <v>230</v>
      </c>
      <c r="I379" s="81">
        <f t="shared" si="1"/>
        <v>0.8928571429</v>
      </c>
      <c r="J379" s="81">
        <f t="shared" si="2"/>
        <v>0.5283018868</v>
      </c>
    </row>
    <row r="380">
      <c r="A380" s="82">
        <v>44665.0</v>
      </c>
      <c r="B380" s="66">
        <v>2025.0</v>
      </c>
      <c r="C380" s="66">
        <v>2.0</v>
      </c>
      <c r="D380" s="66" t="s">
        <v>205</v>
      </c>
      <c r="E380" s="66">
        <v>0.0</v>
      </c>
      <c r="F380" s="66">
        <v>0.1988</v>
      </c>
      <c r="G380" s="66">
        <v>0.105</v>
      </c>
      <c r="I380" s="81">
        <f t="shared" si="1"/>
        <v>0.8933333333</v>
      </c>
      <c r="J380" s="81">
        <f t="shared" si="2"/>
        <v>0.5281690141</v>
      </c>
    </row>
    <row r="381">
      <c r="A381" s="82">
        <v>44665.0</v>
      </c>
      <c r="B381" s="66">
        <v>2025.0</v>
      </c>
      <c r="C381" s="66">
        <v>2.0</v>
      </c>
      <c r="D381" s="66" t="s">
        <v>204</v>
      </c>
      <c r="E381" s="66">
        <v>0.0</v>
      </c>
      <c r="F381" s="66">
        <v>0.464</v>
      </c>
      <c r="G381" s="66">
        <v>0.245</v>
      </c>
      <c r="H381" s="66" t="s">
        <v>227</v>
      </c>
      <c r="I381" s="81">
        <f t="shared" si="1"/>
        <v>0.893877551</v>
      </c>
      <c r="J381" s="81">
        <f t="shared" si="2"/>
        <v>0.5280172414</v>
      </c>
    </row>
    <row r="382">
      <c r="A382" s="82">
        <v>44665.0</v>
      </c>
      <c r="B382" s="66">
        <v>2025.0</v>
      </c>
      <c r="C382" s="66">
        <v>2.0</v>
      </c>
      <c r="D382" s="66" t="s">
        <v>204</v>
      </c>
      <c r="E382" s="66">
        <v>1.0</v>
      </c>
      <c r="F382" s="66">
        <v>1.589</v>
      </c>
      <c r="G382" s="66">
        <v>0.839</v>
      </c>
      <c r="H382" s="66" t="s">
        <v>227</v>
      </c>
      <c r="I382" s="81">
        <f t="shared" si="1"/>
        <v>0.8939213349</v>
      </c>
      <c r="J382" s="81">
        <f t="shared" si="2"/>
        <v>0.5280050346</v>
      </c>
    </row>
    <row r="383">
      <c r="A383" s="82">
        <v>44665.0</v>
      </c>
      <c r="B383" s="66">
        <v>2026.0</v>
      </c>
      <c r="C383" s="66">
        <v>1.0</v>
      </c>
      <c r="D383" s="66" t="s">
        <v>205</v>
      </c>
      <c r="E383" s="66">
        <v>1.0</v>
      </c>
      <c r="F383" s="66">
        <v>0.358</v>
      </c>
      <c r="G383" s="66">
        <v>0.189</v>
      </c>
      <c r="H383" s="66" t="s">
        <v>227</v>
      </c>
      <c r="I383" s="81">
        <f t="shared" si="1"/>
        <v>0.8941798942</v>
      </c>
      <c r="J383" s="81">
        <f t="shared" si="2"/>
        <v>0.5279329609</v>
      </c>
    </row>
    <row r="384">
      <c r="A384" s="82">
        <v>44665.0</v>
      </c>
      <c r="B384" s="66">
        <v>2026.0</v>
      </c>
      <c r="C384" s="66">
        <v>1.0</v>
      </c>
      <c r="D384" s="66" t="s">
        <v>204</v>
      </c>
      <c r="E384" s="66">
        <v>0.0</v>
      </c>
      <c r="F384" s="66">
        <v>0.6782</v>
      </c>
      <c r="G384" s="66">
        <v>0.358</v>
      </c>
      <c r="H384" s="66" t="s">
        <v>227</v>
      </c>
      <c r="I384" s="81">
        <f t="shared" si="1"/>
        <v>0.8944134078</v>
      </c>
      <c r="J384" s="81">
        <f t="shared" si="2"/>
        <v>0.5278678856</v>
      </c>
    </row>
    <row r="385">
      <c r="A385" s="82">
        <v>44665.0</v>
      </c>
      <c r="B385" s="66">
        <v>2026.0</v>
      </c>
      <c r="C385" s="66">
        <v>1.0</v>
      </c>
      <c r="D385" s="66" t="s">
        <v>204</v>
      </c>
      <c r="E385" s="66">
        <v>1.0</v>
      </c>
      <c r="F385" s="66">
        <v>0.2915</v>
      </c>
      <c r="G385" s="66">
        <v>0.1538</v>
      </c>
      <c r="H385" s="66" t="s">
        <v>230</v>
      </c>
      <c r="I385" s="81">
        <f t="shared" si="1"/>
        <v>0.8953185956</v>
      </c>
      <c r="J385" s="81">
        <f t="shared" si="2"/>
        <v>0.5276157804</v>
      </c>
    </row>
    <row r="386">
      <c r="A386" s="82">
        <v>44665.0</v>
      </c>
      <c r="B386" s="66">
        <v>2026.0</v>
      </c>
      <c r="C386" s="66">
        <v>2.0</v>
      </c>
      <c r="D386" s="66" t="s">
        <v>205</v>
      </c>
      <c r="E386" s="66">
        <v>0.0</v>
      </c>
      <c r="F386" s="66">
        <v>1.0995</v>
      </c>
      <c r="G386" s="66">
        <v>0.58</v>
      </c>
      <c r="H386" s="66" t="s">
        <v>227</v>
      </c>
      <c r="I386" s="81">
        <f t="shared" si="1"/>
        <v>0.8956896552</v>
      </c>
      <c r="J386" s="81">
        <f t="shared" si="2"/>
        <v>0.5275125057</v>
      </c>
    </row>
    <row r="387">
      <c r="A387" s="82">
        <v>44665.0</v>
      </c>
      <c r="B387" s="66">
        <v>2026.0</v>
      </c>
      <c r="C387" s="66">
        <v>2.0</v>
      </c>
      <c r="D387" s="66" t="s">
        <v>204</v>
      </c>
      <c r="E387" s="66">
        <v>0.0</v>
      </c>
      <c r="F387" s="66">
        <v>0.3545</v>
      </c>
      <c r="G387" s="66">
        <v>0.187</v>
      </c>
      <c r="I387" s="81">
        <f t="shared" si="1"/>
        <v>0.8957219251</v>
      </c>
      <c r="J387" s="81">
        <f t="shared" si="2"/>
        <v>0.5275035261</v>
      </c>
    </row>
    <row r="388">
      <c r="A388" s="82">
        <v>44665.0</v>
      </c>
      <c r="B388" s="66">
        <v>2026.0</v>
      </c>
      <c r="C388" s="66">
        <v>2.0</v>
      </c>
      <c r="D388" s="66" t="s">
        <v>204</v>
      </c>
      <c r="E388" s="66">
        <v>1.0</v>
      </c>
      <c r="F388" s="66">
        <v>0.7527</v>
      </c>
      <c r="G388" s="66">
        <v>0.397</v>
      </c>
      <c r="I388" s="81">
        <f t="shared" si="1"/>
        <v>0.8959697733</v>
      </c>
      <c r="J388" s="81">
        <f t="shared" si="2"/>
        <v>0.5274345689</v>
      </c>
    </row>
    <row r="389">
      <c r="A389" s="82">
        <v>44665.0</v>
      </c>
      <c r="B389" s="66">
        <v>2027.0</v>
      </c>
      <c r="C389" s="66">
        <v>1.0</v>
      </c>
      <c r="D389" s="66" t="s">
        <v>205</v>
      </c>
      <c r="E389" s="66">
        <v>0.0</v>
      </c>
      <c r="F389" s="66">
        <v>0.2522</v>
      </c>
      <c r="G389" s="66">
        <v>0.133</v>
      </c>
      <c r="I389" s="81">
        <f t="shared" si="1"/>
        <v>0.8962406015</v>
      </c>
      <c r="J389" s="81">
        <f t="shared" si="2"/>
        <v>0.5273592387</v>
      </c>
    </row>
    <row r="390">
      <c r="A390" s="82">
        <v>44665.0</v>
      </c>
      <c r="B390" s="66">
        <v>2027.0</v>
      </c>
      <c r="C390" s="66">
        <v>1.0</v>
      </c>
      <c r="D390" s="66" t="s">
        <v>204</v>
      </c>
      <c r="E390" s="66">
        <v>0.0</v>
      </c>
      <c r="F390" s="66">
        <v>0.1024</v>
      </c>
      <c r="G390" s="66">
        <v>0.054</v>
      </c>
      <c r="I390" s="81">
        <f t="shared" si="1"/>
        <v>0.8962962963</v>
      </c>
      <c r="J390" s="81">
        <f t="shared" si="2"/>
        <v>0.52734375</v>
      </c>
    </row>
    <row r="391">
      <c r="A391" s="82">
        <v>44665.0</v>
      </c>
      <c r="B391" s="66">
        <v>2027.0</v>
      </c>
      <c r="C391" s="66">
        <v>1.0</v>
      </c>
      <c r="D391" s="66" t="s">
        <v>204</v>
      </c>
      <c r="E391" s="66">
        <v>1.0</v>
      </c>
      <c r="F391" s="66">
        <v>0.3423</v>
      </c>
      <c r="G391" s="66">
        <v>0.1805</v>
      </c>
      <c r="I391" s="81">
        <f t="shared" si="1"/>
        <v>0.896398892</v>
      </c>
      <c r="J391" s="81">
        <f t="shared" si="2"/>
        <v>0.5273152206</v>
      </c>
    </row>
    <row r="392">
      <c r="A392" s="82">
        <v>44665.0</v>
      </c>
      <c r="B392" s="66">
        <v>2028.0</v>
      </c>
      <c r="C392" s="66">
        <v>1.0</v>
      </c>
      <c r="D392" s="66" t="s">
        <v>205</v>
      </c>
      <c r="E392" s="66">
        <v>0.0</v>
      </c>
      <c r="F392" s="66">
        <v>1.7126</v>
      </c>
      <c r="G392" s="66">
        <v>0.903</v>
      </c>
      <c r="H392" s="66" t="s">
        <v>227</v>
      </c>
      <c r="I392" s="81">
        <f t="shared" si="1"/>
        <v>0.8965669989</v>
      </c>
      <c r="J392" s="81">
        <f t="shared" si="2"/>
        <v>0.5272684807</v>
      </c>
    </row>
    <row r="393">
      <c r="A393" s="82">
        <v>44665.0</v>
      </c>
      <c r="B393" s="66">
        <v>2028.0</v>
      </c>
      <c r="C393" s="66">
        <v>1.0</v>
      </c>
      <c r="D393" s="66" t="s">
        <v>205</v>
      </c>
      <c r="E393" s="66">
        <v>0.0</v>
      </c>
      <c r="F393" s="66">
        <v>1.021</v>
      </c>
      <c r="G393" s="66">
        <v>0.5379</v>
      </c>
      <c r="I393" s="81">
        <f t="shared" si="1"/>
        <v>0.8981223276</v>
      </c>
      <c r="J393" s="81">
        <f t="shared" si="2"/>
        <v>0.5268364349</v>
      </c>
    </row>
    <row r="394">
      <c r="A394" s="82">
        <v>44665.0</v>
      </c>
      <c r="B394" s="66">
        <v>2028.0</v>
      </c>
      <c r="C394" s="66">
        <v>1.0</v>
      </c>
      <c r="D394" s="66" t="s">
        <v>205</v>
      </c>
      <c r="E394" s="66">
        <v>0.0</v>
      </c>
      <c r="F394" s="66">
        <v>0.0467</v>
      </c>
      <c r="G394" s="66">
        <v>0.0246</v>
      </c>
      <c r="H394" s="66" t="s">
        <v>226</v>
      </c>
      <c r="I394" s="81">
        <f t="shared" si="1"/>
        <v>0.8983739837</v>
      </c>
      <c r="J394" s="81">
        <f t="shared" si="2"/>
        <v>0.5267665953</v>
      </c>
    </row>
    <row r="395">
      <c r="A395" s="82">
        <v>44665.0</v>
      </c>
      <c r="B395" s="66">
        <v>2028.0</v>
      </c>
      <c r="C395" s="66">
        <v>1.0</v>
      </c>
      <c r="D395" s="66" t="s">
        <v>204</v>
      </c>
      <c r="E395" s="66">
        <v>0.0</v>
      </c>
      <c r="F395" s="66">
        <v>0.169</v>
      </c>
      <c r="G395" s="66">
        <v>0.089</v>
      </c>
      <c r="H395" s="66" t="s">
        <v>226</v>
      </c>
      <c r="I395" s="81">
        <f t="shared" si="1"/>
        <v>0.8988764045</v>
      </c>
      <c r="J395" s="81">
        <f t="shared" si="2"/>
        <v>0.5266272189</v>
      </c>
    </row>
    <row r="396">
      <c r="A396" s="82">
        <v>44665.0</v>
      </c>
      <c r="B396" s="66">
        <v>2028.0</v>
      </c>
      <c r="C396" s="66">
        <v>1.0</v>
      </c>
      <c r="D396" s="66" t="s">
        <v>204</v>
      </c>
      <c r="E396" s="66">
        <v>1.0</v>
      </c>
      <c r="F396" s="66">
        <v>0.5862</v>
      </c>
      <c r="G396" s="66">
        <v>0.3087</v>
      </c>
      <c r="I396" s="81">
        <f t="shared" si="1"/>
        <v>0.898931001</v>
      </c>
      <c r="J396" s="81">
        <f t="shared" si="2"/>
        <v>0.5266120778</v>
      </c>
    </row>
    <row r="397">
      <c r="A397" s="82">
        <v>44665.0</v>
      </c>
      <c r="B397" s="66">
        <v>2028.0</v>
      </c>
      <c r="C397" s="66">
        <v>2.0</v>
      </c>
      <c r="D397" s="66" t="s">
        <v>205</v>
      </c>
      <c r="E397" s="66">
        <v>0.0</v>
      </c>
      <c r="F397" s="66">
        <v>0.1926</v>
      </c>
      <c r="G397" s="66">
        <v>0.1014</v>
      </c>
      <c r="I397" s="81">
        <f t="shared" si="1"/>
        <v>0.899408284</v>
      </c>
      <c r="J397" s="81">
        <f t="shared" si="2"/>
        <v>0.5264797508</v>
      </c>
    </row>
    <row r="398">
      <c r="A398" s="82">
        <v>44665.0</v>
      </c>
      <c r="B398" s="66">
        <v>2028.0</v>
      </c>
      <c r="C398" s="66">
        <v>2.0</v>
      </c>
      <c r="D398" s="66" t="s">
        <v>204</v>
      </c>
      <c r="E398" s="66">
        <v>1.0</v>
      </c>
      <c r="F398" s="66">
        <v>0.3305</v>
      </c>
      <c r="G398" s="66">
        <v>0.174</v>
      </c>
      <c r="I398" s="81">
        <f t="shared" si="1"/>
        <v>0.8994252874</v>
      </c>
      <c r="J398" s="81">
        <f t="shared" si="2"/>
        <v>0.5264750378</v>
      </c>
    </row>
    <row r="399">
      <c r="A399" s="82">
        <v>44665.0</v>
      </c>
      <c r="B399" s="66">
        <v>2031.0</v>
      </c>
      <c r="C399" s="66">
        <v>1.0</v>
      </c>
      <c r="D399" s="66" t="s">
        <v>205</v>
      </c>
      <c r="E399" s="66">
        <v>0.0</v>
      </c>
      <c r="F399" s="66">
        <v>1.0829</v>
      </c>
      <c r="G399" s="66">
        <v>0.57</v>
      </c>
      <c r="H399" s="66" t="s">
        <v>227</v>
      </c>
      <c r="I399" s="81">
        <f t="shared" si="1"/>
        <v>0.8998245614</v>
      </c>
      <c r="J399" s="81">
        <f t="shared" si="2"/>
        <v>0.5263643919</v>
      </c>
    </row>
    <row r="400">
      <c r="A400" s="82">
        <v>44665.0</v>
      </c>
      <c r="B400" s="66">
        <v>2031.0</v>
      </c>
      <c r="C400" s="66">
        <v>1.0</v>
      </c>
      <c r="D400" s="66" t="s">
        <v>204</v>
      </c>
      <c r="E400" s="66">
        <v>0.0</v>
      </c>
      <c r="F400" s="66">
        <v>0.057</v>
      </c>
      <c r="G400" s="66">
        <v>0.03</v>
      </c>
      <c r="H400" s="66" t="s">
        <v>227</v>
      </c>
      <c r="I400" s="81">
        <f t="shared" si="1"/>
        <v>0.9</v>
      </c>
      <c r="J400" s="81">
        <f t="shared" si="2"/>
        <v>0.5263157895</v>
      </c>
    </row>
    <row r="401">
      <c r="A401" s="82">
        <v>44665.0</v>
      </c>
      <c r="B401" s="66">
        <v>2031.0</v>
      </c>
      <c r="C401" s="66">
        <v>1.0</v>
      </c>
      <c r="D401" s="66" t="s">
        <v>204</v>
      </c>
      <c r="E401" s="66">
        <v>1.0</v>
      </c>
      <c r="F401" s="66">
        <v>1.7319</v>
      </c>
      <c r="G401" s="66">
        <v>0.911</v>
      </c>
      <c r="H401" s="66" t="s">
        <v>227</v>
      </c>
      <c r="I401" s="81">
        <f t="shared" si="1"/>
        <v>0.9010976948</v>
      </c>
      <c r="J401" s="81">
        <f t="shared" si="2"/>
        <v>0.5260118945</v>
      </c>
    </row>
    <row r="402">
      <c r="A402" s="82">
        <v>44665.0</v>
      </c>
      <c r="B402" s="66">
        <v>2078.0</v>
      </c>
      <c r="C402" s="66">
        <v>1.0</v>
      </c>
      <c r="D402" s="66" t="s">
        <v>205</v>
      </c>
      <c r="E402" s="66">
        <v>0.0</v>
      </c>
      <c r="F402" s="66">
        <v>0.3289</v>
      </c>
      <c r="G402" s="66">
        <v>0.173</v>
      </c>
      <c r="I402" s="81">
        <f t="shared" si="1"/>
        <v>0.9011560694</v>
      </c>
      <c r="J402" s="81">
        <f t="shared" si="2"/>
        <v>0.5259957434</v>
      </c>
    </row>
    <row r="403">
      <c r="A403" s="82">
        <v>44665.0</v>
      </c>
      <c r="B403" s="66">
        <v>2078.0</v>
      </c>
      <c r="C403" s="66">
        <v>1.0</v>
      </c>
      <c r="D403" s="66" t="s">
        <v>204</v>
      </c>
      <c r="E403" s="66">
        <v>0.0</v>
      </c>
      <c r="F403" s="66">
        <v>0.1504</v>
      </c>
      <c r="G403" s="66">
        <v>0.0791</v>
      </c>
      <c r="H403" s="66" t="s">
        <v>230</v>
      </c>
      <c r="I403" s="81">
        <f t="shared" si="1"/>
        <v>0.9013906448</v>
      </c>
      <c r="J403" s="81">
        <f t="shared" si="2"/>
        <v>0.5259308511</v>
      </c>
    </row>
    <row r="404">
      <c r="A404" s="82">
        <v>44665.0</v>
      </c>
      <c r="B404" s="66">
        <v>2301.0</v>
      </c>
      <c r="C404" s="66">
        <v>1.0</v>
      </c>
      <c r="D404" s="66" t="s">
        <v>205</v>
      </c>
      <c r="E404" s="66">
        <v>0.0</v>
      </c>
      <c r="F404" s="66">
        <v>0.2073</v>
      </c>
      <c r="G404" s="66">
        <v>0.109</v>
      </c>
      <c r="I404" s="81">
        <f t="shared" si="1"/>
        <v>0.9018348624</v>
      </c>
      <c r="J404" s="81">
        <f t="shared" si="2"/>
        <v>0.5258080077</v>
      </c>
    </row>
    <row r="405">
      <c r="A405" s="82">
        <v>44665.0</v>
      </c>
      <c r="B405" s="66">
        <v>2301.0</v>
      </c>
      <c r="C405" s="66">
        <v>1.0</v>
      </c>
      <c r="D405" s="66" t="s">
        <v>204</v>
      </c>
      <c r="E405" s="66">
        <v>1.0</v>
      </c>
      <c r="F405" s="66">
        <v>0.6679</v>
      </c>
      <c r="G405" s="66">
        <v>0.351</v>
      </c>
      <c r="I405" s="81">
        <f t="shared" si="1"/>
        <v>0.9028490028</v>
      </c>
      <c r="J405" s="81">
        <f t="shared" si="2"/>
        <v>0.5255277736</v>
      </c>
    </row>
    <row r="406">
      <c r="A406" s="82">
        <v>44665.0</v>
      </c>
      <c r="B406" s="66">
        <v>2345.0</v>
      </c>
      <c r="C406" s="66">
        <v>1.0</v>
      </c>
      <c r="D406" s="66" t="s">
        <v>205</v>
      </c>
      <c r="E406" s="66">
        <v>0.0</v>
      </c>
      <c r="F406" s="66">
        <v>0.7461</v>
      </c>
      <c r="G406" s="66">
        <v>0.392</v>
      </c>
      <c r="H406" s="66" t="s">
        <v>226</v>
      </c>
      <c r="I406" s="81">
        <f t="shared" si="1"/>
        <v>0.9033163265</v>
      </c>
      <c r="J406" s="81">
        <f t="shared" si="2"/>
        <v>0.5253987401</v>
      </c>
    </row>
    <row r="407">
      <c r="A407" s="82">
        <v>44665.0</v>
      </c>
      <c r="B407" s="66">
        <v>2345.0</v>
      </c>
      <c r="C407" s="66">
        <v>1.0</v>
      </c>
      <c r="D407" s="66" t="s">
        <v>204</v>
      </c>
      <c r="E407" s="66">
        <v>1.0</v>
      </c>
      <c r="F407" s="66">
        <v>0.3078</v>
      </c>
      <c r="G407" s="66">
        <v>0.1617</v>
      </c>
      <c r="I407" s="81">
        <f t="shared" si="1"/>
        <v>0.9035250464</v>
      </c>
      <c r="J407" s="81">
        <f t="shared" si="2"/>
        <v>0.5253411306</v>
      </c>
    </row>
    <row r="408">
      <c r="A408" s="82">
        <v>44665.0</v>
      </c>
      <c r="B408" s="66">
        <v>2345.0</v>
      </c>
      <c r="C408" s="66">
        <v>2.0</v>
      </c>
      <c r="D408" s="66" t="s">
        <v>205</v>
      </c>
      <c r="E408" s="66">
        <v>1.0</v>
      </c>
      <c r="F408" s="66">
        <v>0.415</v>
      </c>
      <c r="G408" s="66">
        <v>0.218</v>
      </c>
      <c r="H408" s="66" t="s">
        <v>227</v>
      </c>
      <c r="I408" s="81">
        <f t="shared" si="1"/>
        <v>0.9036697248</v>
      </c>
      <c r="J408" s="81">
        <f t="shared" si="2"/>
        <v>0.5253012048</v>
      </c>
    </row>
    <row r="409">
      <c r="A409" s="82">
        <v>44665.0</v>
      </c>
      <c r="B409" s="66">
        <v>2345.0</v>
      </c>
      <c r="C409" s="66">
        <v>2.0</v>
      </c>
      <c r="D409" s="66" t="s">
        <v>204</v>
      </c>
      <c r="E409" s="66">
        <v>1.0</v>
      </c>
      <c r="F409" s="66">
        <v>0.3103</v>
      </c>
      <c r="G409" s="66">
        <v>0.163</v>
      </c>
      <c r="H409" s="66" t="s">
        <v>227</v>
      </c>
      <c r="I409" s="81">
        <f t="shared" si="1"/>
        <v>0.9036809816</v>
      </c>
      <c r="J409" s="81">
        <f t="shared" si="2"/>
        <v>0.5252980986</v>
      </c>
    </row>
    <row r="410">
      <c r="A410" s="82">
        <v>44665.0</v>
      </c>
      <c r="B410" s="66">
        <v>2350.0</v>
      </c>
      <c r="C410" s="66">
        <v>1.0</v>
      </c>
      <c r="D410" s="66" t="s">
        <v>205</v>
      </c>
      <c r="E410" s="66">
        <v>0.0</v>
      </c>
      <c r="F410" s="66">
        <v>0.4209</v>
      </c>
      <c r="G410" s="66">
        <v>0.221</v>
      </c>
      <c r="H410" s="66" t="s">
        <v>227</v>
      </c>
      <c r="I410" s="81">
        <f t="shared" si="1"/>
        <v>0.9045248869</v>
      </c>
      <c r="J410" s="81">
        <f t="shared" si="2"/>
        <v>0.5250653362</v>
      </c>
    </row>
    <row r="411">
      <c r="A411" s="82">
        <v>44665.0</v>
      </c>
      <c r="B411" s="66">
        <v>2350.0</v>
      </c>
      <c r="C411" s="66">
        <v>1.0</v>
      </c>
      <c r="D411" s="66" t="s">
        <v>204</v>
      </c>
      <c r="E411" s="66">
        <v>0.0</v>
      </c>
      <c r="F411" s="66">
        <v>1.0952</v>
      </c>
      <c r="G411" s="66">
        <v>0.575</v>
      </c>
      <c r="H411" s="66" t="s">
        <v>227</v>
      </c>
      <c r="I411" s="81">
        <f t="shared" si="1"/>
        <v>0.9046956522</v>
      </c>
      <c r="J411" s="81">
        <f t="shared" si="2"/>
        <v>0.5250182615</v>
      </c>
    </row>
    <row r="412">
      <c r="A412" s="82">
        <v>44665.0</v>
      </c>
      <c r="B412" s="66">
        <v>2350.0</v>
      </c>
      <c r="C412" s="66">
        <v>1.0</v>
      </c>
      <c r="D412" s="66" t="s">
        <v>204</v>
      </c>
      <c r="E412" s="66">
        <v>1.0</v>
      </c>
      <c r="F412" s="66">
        <v>0.1819</v>
      </c>
      <c r="G412" s="66">
        <v>0.0955</v>
      </c>
      <c r="H412" s="66" t="s">
        <v>230</v>
      </c>
      <c r="I412" s="81">
        <f t="shared" si="1"/>
        <v>0.9047120419</v>
      </c>
      <c r="J412" s="81">
        <f t="shared" si="2"/>
        <v>0.5250137438</v>
      </c>
    </row>
    <row r="413">
      <c r="A413" s="82">
        <v>44665.0</v>
      </c>
      <c r="B413" s="66">
        <v>2351.0</v>
      </c>
      <c r="C413" s="66">
        <v>1.0</v>
      </c>
      <c r="D413" s="66" t="s">
        <v>205</v>
      </c>
      <c r="E413" s="66">
        <v>0.0</v>
      </c>
      <c r="F413" s="66">
        <v>0.3063</v>
      </c>
      <c r="G413" s="66">
        <v>0.1608</v>
      </c>
      <c r="H413" s="66" t="s">
        <v>226</v>
      </c>
      <c r="I413" s="81">
        <f t="shared" si="1"/>
        <v>0.9048507463</v>
      </c>
      <c r="J413" s="81">
        <f t="shared" si="2"/>
        <v>0.5249755142</v>
      </c>
    </row>
    <row r="414">
      <c r="A414" s="82">
        <v>44665.0</v>
      </c>
      <c r="B414" s="66">
        <v>2351.0</v>
      </c>
      <c r="C414" s="66">
        <v>1.0</v>
      </c>
      <c r="D414" s="66" t="s">
        <v>205</v>
      </c>
      <c r="E414" s="66">
        <v>0.0</v>
      </c>
      <c r="F414" s="66">
        <v>0.4117</v>
      </c>
      <c r="G414" s="66">
        <v>0.216</v>
      </c>
      <c r="H414" s="66" t="s">
        <v>226</v>
      </c>
      <c r="I414" s="81">
        <f t="shared" si="1"/>
        <v>0.9060185185</v>
      </c>
      <c r="J414" s="81">
        <f t="shared" si="2"/>
        <v>0.5246538742</v>
      </c>
    </row>
    <row r="415">
      <c r="A415" s="82">
        <v>44665.0</v>
      </c>
      <c r="B415" s="66">
        <v>2351.0</v>
      </c>
      <c r="C415" s="66">
        <v>1.0</v>
      </c>
      <c r="D415" s="66" t="s">
        <v>204</v>
      </c>
      <c r="E415" s="66">
        <v>0.0</v>
      </c>
      <c r="F415" s="66">
        <v>0.467</v>
      </c>
      <c r="G415" s="66">
        <v>0.245</v>
      </c>
      <c r="I415" s="81">
        <f t="shared" si="1"/>
        <v>0.906122449</v>
      </c>
      <c r="J415" s="81">
        <f t="shared" si="2"/>
        <v>0.5246252677</v>
      </c>
    </row>
    <row r="416">
      <c r="A416" s="82">
        <v>44665.0</v>
      </c>
      <c r="B416" s="66">
        <v>2351.0</v>
      </c>
      <c r="C416" s="66">
        <v>1.0</v>
      </c>
      <c r="D416" s="66" t="s">
        <v>204</v>
      </c>
      <c r="E416" s="66">
        <v>0.0</v>
      </c>
      <c r="F416" s="66">
        <v>1.0808</v>
      </c>
      <c r="G416" s="66">
        <v>0.567</v>
      </c>
      <c r="I416" s="81">
        <f t="shared" si="1"/>
        <v>0.9061728395</v>
      </c>
      <c r="J416" s="81">
        <f t="shared" si="2"/>
        <v>0.524611399</v>
      </c>
    </row>
    <row r="417">
      <c r="A417" s="82">
        <v>44665.0</v>
      </c>
      <c r="B417" s="66">
        <v>2351.0</v>
      </c>
      <c r="C417" s="66">
        <v>1.0</v>
      </c>
      <c r="D417" s="66" t="s">
        <v>204</v>
      </c>
      <c r="E417" s="66">
        <v>1.0</v>
      </c>
      <c r="F417" s="66">
        <v>1.4773</v>
      </c>
      <c r="G417" s="66">
        <v>0.775</v>
      </c>
      <c r="I417" s="81">
        <f t="shared" si="1"/>
        <v>0.9061935484</v>
      </c>
      <c r="J417" s="81">
        <f t="shared" si="2"/>
        <v>0.5246056996</v>
      </c>
    </row>
    <row r="418">
      <c r="A418" s="82">
        <v>44665.0</v>
      </c>
      <c r="B418" s="66">
        <v>2351.0</v>
      </c>
      <c r="C418" s="66">
        <v>1.0</v>
      </c>
      <c r="D418" s="66" t="s">
        <v>204</v>
      </c>
      <c r="E418" s="66">
        <v>1.0</v>
      </c>
      <c r="F418" s="66">
        <v>2.4119</v>
      </c>
      <c r="G418" s="66">
        <v>1.265</v>
      </c>
      <c r="H418" s="66" t="s">
        <v>230</v>
      </c>
      <c r="I418" s="81">
        <f t="shared" si="1"/>
        <v>0.9066403162</v>
      </c>
      <c r="J418" s="81">
        <f t="shared" si="2"/>
        <v>0.5244827729</v>
      </c>
    </row>
    <row r="419">
      <c r="A419" s="82">
        <v>44665.0</v>
      </c>
      <c r="B419" s="66">
        <v>2351.0</v>
      </c>
      <c r="C419" s="66">
        <v>1.0</v>
      </c>
      <c r="D419" s="66" t="s">
        <v>204</v>
      </c>
      <c r="E419" s="66">
        <v>1.0</v>
      </c>
      <c r="F419" s="66">
        <v>0.7628</v>
      </c>
      <c r="G419" s="66">
        <v>0.4</v>
      </c>
      <c r="I419" s="81">
        <f t="shared" si="1"/>
        <v>0.907</v>
      </c>
      <c r="J419" s="81">
        <f t="shared" si="2"/>
        <v>0.524383849</v>
      </c>
    </row>
    <row r="420">
      <c r="A420" s="82">
        <v>44665.0</v>
      </c>
      <c r="B420" s="66">
        <v>2351.0</v>
      </c>
      <c r="C420" s="66">
        <v>2.0</v>
      </c>
      <c r="D420" s="66" t="s">
        <v>205</v>
      </c>
      <c r="E420" s="66">
        <v>1.0</v>
      </c>
      <c r="F420" s="66">
        <v>0.0229</v>
      </c>
      <c r="G420" s="66">
        <v>0.012</v>
      </c>
      <c r="H420" s="66" t="s">
        <v>227</v>
      </c>
      <c r="I420" s="81">
        <f t="shared" si="1"/>
        <v>0.9083333333</v>
      </c>
      <c r="J420" s="81">
        <f t="shared" si="2"/>
        <v>0.5240174672</v>
      </c>
    </row>
    <row r="421">
      <c r="A421" s="82">
        <v>44665.0</v>
      </c>
      <c r="B421" s="66">
        <v>2351.0</v>
      </c>
      <c r="C421" s="66">
        <v>2.0</v>
      </c>
      <c r="D421" s="66" t="s">
        <v>204</v>
      </c>
      <c r="E421" s="66">
        <v>0.0</v>
      </c>
      <c r="F421" s="66">
        <v>0.6215</v>
      </c>
      <c r="G421" s="66">
        <v>0.3256</v>
      </c>
      <c r="H421" s="66" t="s">
        <v>226</v>
      </c>
      <c r="I421" s="81">
        <f t="shared" si="1"/>
        <v>0.9087837838</v>
      </c>
      <c r="J421" s="81">
        <f t="shared" si="2"/>
        <v>0.5238938053</v>
      </c>
    </row>
    <row r="422">
      <c r="A422" s="82">
        <v>44665.0</v>
      </c>
      <c r="B422" s="66">
        <v>2351.0</v>
      </c>
      <c r="C422" s="66">
        <v>3.0</v>
      </c>
      <c r="D422" s="66" t="s">
        <v>205</v>
      </c>
      <c r="E422" s="66">
        <v>0.0</v>
      </c>
      <c r="F422" s="66">
        <v>1.258</v>
      </c>
      <c r="G422" s="66">
        <v>0.659</v>
      </c>
      <c r="H422" s="66" t="s">
        <v>227</v>
      </c>
      <c r="I422" s="81">
        <f t="shared" si="1"/>
        <v>0.908952959</v>
      </c>
      <c r="J422" s="81">
        <f t="shared" si="2"/>
        <v>0.5238473768</v>
      </c>
    </row>
    <row r="423">
      <c r="A423" s="82">
        <v>44665.0</v>
      </c>
      <c r="B423" s="66">
        <v>2351.0</v>
      </c>
      <c r="C423" s="66">
        <v>3.0</v>
      </c>
      <c r="D423" s="66" t="s">
        <v>204</v>
      </c>
      <c r="E423" s="66">
        <v>0.0</v>
      </c>
      <c r="F423" s="66">
        <v>1.22</v>
      </c>
      <c r="G423" s="66">
        <v>0.639</v>
      </c>
      <c r="H423" s="66" t="s">
        <v>227</v>
      </c>
      <c r="I423" s="81">
        <f t="shared" si="1"/>
        <v>0.9092331768</v>
      </c>
      <c r="J423" s="81">
        <f t="shared" si="2"/>
        <v>0.5237704918</v>
      </c>
    </row>
    <row r="424">
      <c r="A424" s="82">
        <v>44665.0</v>
      </c>
      <c r="B424" s="66">
        <v>2360.0</v>
      </c>
      <c r="C424" s="66">
        <v>1.0</v>
      </c>
      <c r="D424" s="66" t="s">
        <v>205</v>
      </c>
      <c r="E424" s="66">
        <v>0.0</v>
      </c>
      <c r="F424" s="66">
        <v>0.4468</v>
      </c>
      <c r="G424" s="66">
        <v>0.234</v>
      </c>
      <c r="H424" s="66" t="s">
        <v>227</v>
      </c>
      <c r="I424" s="81">
        <f t="shared" si="1"/>
        <v>0.9094017094</v>
      </c>
      <c r="J424" s="81">
        <f t="shared" si="2"/>
        <v>0.5237242614</v>
      </c>
    </row>
    <row r="425">
      <c r="A425" s="82">
        <v>44665.0</v>
      </c>
      <c r="B425" s="66">
        <v>2360.0</v>
      </c>
      <c r="C425" s="66">
        <v>1.0</v>
      </c>
      <c r="D425" s="66" t="s">
        <v>204</v>
      </c>
      <c r="E425" s="66">
        <v>0.0</v>
      </c>
      <c r="F425" s="66">
        <v>0.2645</v>
      </c>
      <c r="G425" s="66">
        <v>0.1385</v>
      </c>
      <c r="H425" s="66" t="s">
        <v>226</v>
      </c>
      <c r="I425" s="81">
        <f t="shared" si="1"/>
        <v>0.9097472924</v>
      </c>
      <c r="J425" s="81">
        <f t="shared" si="2"/>
        <v>0.5236294896</v>
      </c>
    </row>
    <row r="426">
      <c r="A426" s="82">
        <v>44665.0</v>
      </c>
      <c r="B426" s="66">
        <v>2360.0</v>
      </c>
      <c r="C426" s="66">
        <v>1.0</v>
      </c>
      <c r="D426" s="66" t="s">
        <v>204</v>
      </c>
      <c r="E426" s="66">
        <v>1.0</v>
      </c>
      <c r="F426" s="66">
        <v>0.1261</v>
      </c>
      <c r="G426" s="66">
        <v>0.066</v>
      </c>
      <c r="I426" s="81">
        <f t="shared" si="1"/>
        <v>0.9106060606</v>
      </c>
      <c r="J426" s="81">
        <f t="shared" si="2"/>
        <v>0.5233941316</v>
      </c>
    </row>
    <row r="427">
      <c r="A427" s="82">
        <v>44665.0</v>
      </c>
      <c r="B427" s="66">
        <v>2365.0</v>
      </c>
      <c r="C427" s="66">
        <v>1.0</v>
      </c>
      <c r="D427" s="66" t="s">
        <v>205</v>
      </c>
      <c r="E427" s="66">
        <v>0.0</v>
      </c>
      <c r="F427" s="66">
        <v>0.0898</v>
      </c>
      <c r="G427" s="66">
        <v>0.047</v>
      </c>
      <c r="I427" s="81">
        <f t="shared" si="1"/>
        <v>0.9106382979</v>
      </c>
      <c r="J427" s="81">
        <f t="shared" si="2"/>
        <v>0.5233853007</v>
      </c>
    </row>
    <row r="428">
      <c r="A428" s="82">
        <v>44665.0</v>
      </c>
      <c r="B428" s="66">
        <v>2365.0</v>
      </c>
      <c r="C428" s="66">
        <v>1.0</v>
      </c>
      <c r="D428" s="66" t="s">
        <v>204</v>
      </c>
      <c r="E428" s="66">
        <v>1.0</v>
      </c>
      <c r="F428" s="66">
        <v>1.3846</v>
      </c>
      <c r="G428" s="66">
        <v>0.7246</v>
      </c>
      <c r="H428" s="66" t="s">
        <v>230</v>
      </c>
      <c r="I428" s="81">
        <f t="shared" si="1"/>
        <v>0.9108473641</v>
      </c>
      <c r="J428" s="81">
        <f t="shared" si="2"/>
        <v>0.523328037</v>
      </c>
    </row>
    <row r="429">
      <c r="A429" s="82">
        <v>44665.0</v>
      </c>
      <c r="B429" s="66">
        <v>2367.0</v>
      </c>
      <c r="C429" s="66">
        <v>1.0</v>
      </c>
      <c r="D429" s="66" t="s">
        <v>205</v>
      </c>
      <c r="E429" s="66">
        <v>0.0</v>
      </c>
      <c r="F429" s="66">
        <v>0.4013</v>
      </c>
      <c r="G429" s="66">
        <v>0.21</v>
      </c>
      <c r="H429" s="66" t="s">
        <v>227</v>
      </c>
      <c r="I429" s="81">
        <f t="shared" si="1"/>
        <v>0.910952381</v>
      </c>
      <c r="J429" s="81">
        <f t="shared" si="2"/>
        <v>0.5232992773</v>
      </c>
    </row>
    <row r="430">
      <c r="A430" s="82">
        <v>44665.0</v>
      </c>
      <c r="B430" s="66">
        <v>2367.0</v>
      </c>
      <c r="C430" s="66">
        <v>1.0</v>
      </c>
      <c r="D430" s="66" t="s">
        <v>204</v>
      </c>
      <c r="E430" s="66">
        <v>0.0</v>
      </c>
      <c r="F430" s="66">
        <v>0.1739</v>
      </c>
      <c r="G430" s="66">
        <v>0.091</v>
      </c>
      <c r="I430" s="81">
        <f t="shared" si="1"/>
        <v>0.910989011</v>
      </c>
      <c r="J430" s="81">
        <f t="shared" si="2"/>
        <v>0.5232892467</v>
      </c>
    </row>
    <row r="431">
      <c r="A431" s="82">
        <v>44665.0</v>
      </c>
      <c r="B431" s="66">
        <v>2367.0</v>
      </c>
      <c r="C431" s="66">
        <v>1.0</v>
      </c>
      <c r="D431" s="66" t="s">
        <v>204</v>
      </c>
      <c r="E431" s="66">
        <v>1.0</v>
      </c>
      <c r="F431" s="66">
        <v>1.0264</v>
      </c>
      <c r="G431" s="66">
        <v>0.537</v>
      </c>
      <c r="I431" s="81">
        <f t="shared" si="1"/>
        <v>0.9113594041</v>
      </c>
      <c r="J431" s="81">
        <f t="shared" si="2"/>
        <v>0.523187841</v>
      </c>
    </row>
    <row r="432">
      <c r="A432" s="82">
        <v>44665.0</v>
      </c>
      <c r="B432" s="66">
        <v>2367.0</v>
      </c>
      <c r="C432" s="66">
        <v>2.0</v>
      </c>
      <c r="D432" s="66" t="s">
        <v>205</v>
      </c>
      <c r="E432" s="66">
        <v>0.0</v>
      </c>
      <c r="F432" s="66">
        <v>0.52</v>
      </c>
      <c r="G432" s="66">
        <v>0.272</v>
      </c>
      <c r="H432" s="66" t="s">
        <v>227</v>
      </c>
      <c r="I432" s="81">
        <f t="shared" si="1"/>
        <v>0.9117647059</v>
      </c>
      <c r="J432" s="81">
        <f t="shared" si="2"/>
        <v>0.5230769231</v>
      </c>
    </row>
    <row r="433">
      <c r="A433" s="82">
        <v>44665.0</v>
      </c>
      <c r="B433" s="66">
        <v>2367.0</v>
      </c>
      <c r="C433" s="66">
        <v>2.0</v>
      </c>
      <c r="D433" s="66" t="s">
        <v>204</v>
      </c>
      <c r="E433" s="66">
        <v>0.0</v>
      </c>
      <c r="F433" s="66">
        <v>0.1818</v>
      </c>
      <c r="G433" s="66">
        <v>0.095</v>
      </c>
      <c r="H433" s="66" t="s">
        <v>227</v>
      </c>
      <c r="I433" s="81">
        <f t="shared" si="1"/>
        <v>0.9136842105</v>
      </c>
      <c r="J433" s="81">
        <f t="shared" si="2"/>
        <v>0.5225522552</v>
      </c>
    </row>
    <row r="434">
      <c r="A434" s="82">
        <v>44665.0</v>
      </c>
      <c r="B434" s="66">
        <v>2367.0</v>
      </c>
      <c r="C434" s="66">
        <v>2.0</v>
      </c>
      <c r="D434" s="66" t="s">
        <v>204</v>
      </c>
      <c r="E434" s="66">
        <v>1.0</v>
      </c>
      <c r="F434" s="66">
        <v>0.1225</v>
      </c>
      <c r="G434" s="66">
        <v>0.064</v>
      </c>
      <c r="I434" s="81">
        <f t="shared" si="1"/>
        <v>0.9140625</v>
      </c>
      <c r="J434" s="81">
        <f t="shared" si="2"/>
        <v>0.5224489796</v>
      </c>
    </row>
    <row r="435">
      <c r="A435" s="82">
        <v>44665.0</v>
      </c>
      <c r="B435" s="66">
        <v>2369.0</v>
      </c>
      <c r="C435" s="66">
        <v>1.0</v>
      </c>
      <c r="D435" s="66" t="s">
        <v>205</v>
      </c>
      <c r="E435" s="66">
        <v>0.0</v>
      </c>
      <c r="F435" s="66">
        <v>1.382</v>
      </c>
      <c r="G435" s="66">
        <v>0.722</v>
      </c>
      <c r="H435" s="66" t="s">
        <v>227</v>
      </c>
      <c r="I435" s="81">
        <f t="shared" si="1"/>
        <v>0.9141274238</v>
      </c>
      <c r="J435" s="81">
        <f t="shared" si="2"/>
        <v>0.522431259</v>
      </c>
    </row>
    <row r="436">
      <c r="A436" s="82">
        <v>44665.0</v>
      </c>
      <c r="B436" s="66">
        <v>2369.0</v>
      </c>
      <c r="C436" s="66">
        <v>2.0</v>
      </c>
      <c r="D436" s="66" t="s">
        <v>205</v>
      </c>
      <c r="E436" s="66">
        <v>0.0</v>
      </c>
      <c r="F436" s="66">
        <v>0.1608</v>
      </c>
      <c r="G436" s="66">
        <v>0.084</v>
      </c>
      <c r="H436" s="66" t="s">
        <v>230</v>
      </c>
      <c r="I436" s="81">
        <f t="shared" si="1"/>
        <v>0.9142857143</v>
      </c>
      <c r="J436" s="81">
        <f t="shared" si="2"/>
        <v>0.5223880597</v>
      </c>
    </row>
    <row r="437">
      <c r="A437" s="82">
        <v>44665.0</v>
      </c>
      <c r="B437" s="66">
        <v>2369.0</v>
      </c>
      <c r="C437" s="66">
        <v>2.0</v>
      </c>
      <c r="D437" s="66" t="s">
        <v>204</v>
      </c>
      <c r="E437" s="66">
        <v>0.0</v>
      </c>
      <c r="F437" s="66">
        <v>0.3465</v>
      </c>
      <c r="G437" s="66">
        <v>0.181</v>
      </c>
      <c r="H437" s="66" t="s">
        <v>226</v>
      </c>
      <c r="I437" s="81">
        <f t="shared" si="1"/>
        <v>0.9143646409</v>
      </c>
      <c r="J437" s="81">
        <f t="shared" si="2"/>
        <v>0.5223665224</v>
      </c>
    </row>
    <row r="438">
      <c r="A438" s="82">
        <v>44665.0</v>
      </c>
      <c r="B438" s="66">
        <v>2369.0</v>
      </c>
      <c r="C438" s="66">
        <v>2.0</v>
      </c>
      <c r="D438" s="66" t="s">
        <v>204</v>
      </c>
      <c r="E438" s="66">
        <v>1.0</v>
      </c>
      <c r="F438" s="66">
        <v>0.4384</v>
      </c>
      <c r="G438" s="66">
        <v>0.229</v>
      </c>
      <c r="I438" s="81">
        <f t="shared" si="1"/>
        <v>0.9144104803</v>
      </c>
      <c r="J438" s="81">
        <f t="shared" si="2"/>
        <v>0.5223540146</v>
      </c>
    </row>
    <row r="439">
      <c r="A439" s="82">
        <v>44665.0</v>
      </c>
      <c r="B439" s="66">
        <v>2375.0</v>
      </c>
      <c r="C439" s="66">
        <v>1.0</v>
      </c>
      <c r="D439" s="66" t="s">
        <v>205</v>
      </c>
      <c r="E439" s="66">
        <v>0.0</v>
      </c>
      <c r="F439" s="66">
        <v>0.385</v>
      </c>
      <c r="G439" s="66">
        <v>0.201</v>
      </c>
      <c r="H439" s="66" t="s">
        <v>227</v>
      </c>
      <c r="I439" s="81">
        <f t="shared" si="1"/>
        <v>0.9154228856</v>
      </c>
      <c r="J439" s="81">
        <f t="shared" si="2"/>
        <v>0.5220779221</v>
      </c>
    </row>
    <row r="440">
      <c r="A440" s="82">
        <v>44665.0</v>
      </c>
      <c r="B440" s="66">
        <v>2375.0</v>
      </c>
      <c r="C440" s="66">
        <v>1.0</v>
      </c>
      <c r="D440" s="66" t="s">
        <v>204</v>
      </c>
      <c r="E440" s="66">
        <v>0.0</v>
      </c>
      <c r="F440" s="66">
        <v>2.4425</v>
      </c>
      <c r="G440" s="66">
        <v>1.275</v>
      </c>
      <c r="I440" s="81">
        <f t="shared" si="1"/>
        <v>0.9156862745</v>
      </c>
      <c r="J440" s="81">
        <f t="shared" si="2"/>
        <v>0.5220061412</v>
      </c>
    </row>
    <row r="441">
      <c r="A441" s="82">
        <v>44665.0</v>
      </c>
      <c r="B441" s="66">
        <v>2375.0</v>
      </c>
      <c r="C441" s="66">
        <v>1.0</v>
      </c>
      <c r="D441" s="66" t="s">
        <v>204</v>
      </c>
      <c r="E441" s="66">
        <v>1.0</v>
      </c>
      <c r="F441" s="66">
        <v>0.5154</v>
      </c>
      <c r="G441" s="66">
        <v>0.269</v>
      </c>
      <c r="H441" s="66" t="s">
        <v>226</v>
      </c>
      <c r="I441" s="81">
        <f t="shared" si="1"/>
        <v>0.9159851301</v>
      </c>
      <c r="J441" s="81">
        <f t="shared" si="2"/>
        <v>0.5219247187</v>
      </c>
    </row>
    <row r="442">
      <c r="A442" s="82">
        <v>44665.0</v>
      </c>
      <c r="B442" s="66">
        <v>2377.0</v>
      </c>
      <c r="C442" s="66">
        <v>1.0</v>
      </c>
      <c r="D442" s="66" t="s">
        <v>205</v>
      </c>
      <c r="E442" s="66">
        <v>0.0</v>
      </c>
      <c r="F442" s="66">
        <v>0.3085</v>
      </c>
      <c r="G442" s="66">
        <v>0.161</v>
      </c>
      <c r="I442" s="81">
        <f t="shared" si="1"/>
        <v>0.9161490683</v>
      </c>
      <c r="J442" s="81">
        <f t="shared" si="2"/>
        <v>0.5218800648</v>
      </c>
    </row>
    <row r="443">
      <c r="A443" s="82">
        <v>44665.0</v>
      </c>
      <c r="B443" s="66">
        <v>2377.0</v>
      </c>
      <c r="C443" s="66">
        <v>1.0</v>
      </c>
      <c r="D443" s="66" t="s">
        <v>205</v>
      </c>
      <c r="E443" s="66">
        <v>1.0</v>
      </c>
      <c r="F443" s="66">
        <v>0.5175</v>
      </c>
      <c r="G443" s="66">
        <v>0.27</v>
      </c>
      <c r="I443" s="81">
        <f t="shared" si="1"/>
        <v>0.9166666667</v>
      </c>
      <c r="J443" s="81">
        <f t="shared" si="2"/>
        <v>0.5217391304</v>
      </c>
    </row>
    <row r="444">
      <c r="A444" s="82">
        <v>44665.0</v>
      </c>
      <c r="B444" s="66">
        <v>2377.0</v>
      </c>
      <c r="C444" s="66">
        <v>1.0</v>
      </c>
      <c r="D444" s="66" t="s">
        <v>204</v>
      </c>
      <c r="E444" s="66">
        <v>0.0</v>
      </c>
      <c r="F444" s="66">
        <v>0.092</v>
      </c>
      <c r="G444" s="66">
        <v>0.048</v>
      </c>
      <c r="H444" s="66" t="s">
        <v>227</v>
      </c>
      <c r="I444" s="81">
        <f t="shared" si="1"/>
        <v>0.9166666667</v>
      </c>
      <c r="J444" s="81">
        <f t="shared" si="2"/>
        <v>0.5217391304</v>
      </c>
    </row>
    <row r="445">
      <c r="A445" s="82">
        <v>44665.0</v>
      </c>
      <c r="B445" s="66">
        <v>2377.0</v>
      </c>
      <c r="C445" s="66">
        <v>1.0</v>
      </c>
      <c r="D445" s="66" t="s">
        <v>204</v>
      </c>
      <c r="E445" s="66">
        <v>1.0</v>
      </c>
      <c r="F445" s="66">
        <v>0.9136</v>
      </c>
      <c r="G445" s="66">
        <v>0.4766</v>
      </c>
      <c r="H445" s="66" t="s">
        <v>230</v>
      </c>
      <c r="I445" s="81">
        <f t="shared" si="1"/>
        <v>0.9169114561</v>
      </c>
      <c r="J445" s="81">
        <f t="shared" si="2"/>
        <v>0.5216725044</v>
      </c>
    </row>
    <row r="446">
      <c r="A446" s="82">
        <v>44665.0</v>
      </c>
      <c r="B446" s="66">
        <v>2377.0</v>
      </c>
      <c r="C446" s="66">
        <v>2.0</v>
      </c>
      <c r="D446" s="66" t="s">
        <v>205</v>
      </c>
      <c r="E446" s="66">
        <v>1.0</v>
      </c>
      <c r="F446" s="66">
        <v>0.0786</v>
      </c>
      <c r="G446" s="66">
        <v>0.041</v>
      </c>
      <c r="I446" s="81">
        <f t="shared" si="1"/>
        <v>0.9170731707</v>
      </c>
      <c r="J446" s="81">
        <f t="shared" si="2"/>
        <v>0.5216284987</v>
      </c>
    </row>
    <row r="447">
      <c r="A447" s="82">
        <v>44665.0</v>
      </c>
      <c r="B447" s="66">
        <v>2377.0</v>
      </c>
      <c r="C447" s="66">
        <v>2.0</v>
      </c>
      <c r="D447" s="66" t="s">
        <v>204</v>
      </c>
      <c r="E447" s="66">
        <v>1.0</v>
      </c>
      <c r="F447" s="66">
        <v>0.2953</v>
      </c>
      <c r="G447" s="66">
        <v>0.154</v>
      </c>
      <c r="H447" s="66" t="s">
        <v>227</v>
      </c>
      <c r="I447" s="81">
        <f t="shared" si="1"/>
        <v>0.9175324675</v>
      </c>
      <c r="J447" s="81">
        <f t="shared" si="2"/>
        <v>0.5215035557</v>
      </c>
    </row>
    <row r="448">
      <c r="A448" s="82">
        <v>44665.0</v>
      </c>
      <c r="B448" s="66">
        <v>2377.0</v>
      </c>
      <c r="C448" s="66">
        <v>3.0</v>
      </c>
      <c r="D448" s="66" t="s">
        <v>205</v>
      </c>
      <c r="E448" s="66">
        <v>1.0</v>
      </c>
      <c r="F448" s="66">
        <v>0.1956</v>
      </c>
      <c r="G448" s="66">
        <v>0.102</v>
      </c>
      <c r="H448" s="66" t="s">
        <v>227</v>
      </c>
      <c r="I448" s="81">
        <f t="shared" si="1"/>
        <v>0.9176470588</v>
      </c>
      <c r="J448" s="81">
        <f t="shared" si="2"/>
        <v>0.5214723926</v>
      </c>
    </row>
    <row r="449">
      <c r="A449" s="82">
        <v>44665.0</v>
      </c>
      <c r="B449" s="66">
        <v>2377.0</v>
      </c>
      <c r="C449" s="66">
        <v>3.0</v>
      </c>
      <c r="D449" s="66" t="s">
        <v>204</v>
      </c>
      <c r="E449" s="66">
        <v>1.0</v>
      </c>
      <c r="F449" s="66">
        <v>0.1515</v>
      </c>
      <c r="G449" s="66">
        <v>0.079</v>
      </c>
      <c r="I449" s="81">
        <f t="shared" si="1"/>
        <v>0.917721519</v>
      </c>
      <c r="J449" s="81">
        <f t="shared" si="2"/>
        <v>0.5214521452</v>
      </c>
    </row>
    <row r="450">
      <c r="A450" s="82">
        <v>44665.0</v>
      </c>
      <c r="B450" s="66">
        <v>2378.0</v>
      </c>
      <c r="C450" s="66">
        <v>2.0</v>
      </c>
      <c r="D450" s="66" t="s">
        <v>205</v>
      </c>
      <c r="E450" s="66">
        <v>0.0</v>
      </c>
      <c r="F450" s="66">
        <v>0.1189</v>
      </c>
      <c r="G450" s="66">
        <v>0.062</v>
      </c>
      <c r="I450" s="81">
        <f t="shared" si="1"/>
        <v>0.9177419355</v>
      </c>
      <c r="J450" s="81">
        <f t="shared" si="2"/>
        <v>0.5214465938</v>
      </c>
    </row>
    <row r="451">
      <c r="A451" s="82">
        <v>44665.0</v>
      </c>
      <c r="B451" s="66">
        <v>2378.0</v>
      </c>
      <c r="C451" s="66">
        <v>2.0</v>
      </c>
      <c r="D451" s="66" t="s">
        <v>204</v>
      </c>
      <c r="E451" s="66">
        <v>1.0</v>
      </c>
      <c r="F451" s="66">
        <v>0.1822</v>
      </c>
      <c r="G451" s="66">
        <v>0.095</v>
      </c>
      <c r="H451" s="66" t="s">
        <v>227</v>
      </c>
      <c r="I451" s="81">
        <f t="shared" si="1"/>
        <v>0.9178947368</v>
      </c>
      <c r="J451" s="81">
        <f t="shared" si="2"/>
        <v>0.5214050494</v>
      </c>
    </row>
    <row r="452">
      <c r="A452" s="82">
        <v>44665.0</v>
      </c>
      <c r="B452" s="66">
        <v>2379.0</v>
      </c>
      <c r="C452" s="66">
        <v>1.0</v>
      </c>
      <c r="D452" s="66" t="s">
        <v>205</v>
      </c>
      <c r="E452" s="66">
        <v>0.0</v>
      </c>
      <c r="F452" s="66">
        <v>1.1069</v>
      </c>
      <c r="G452" s="66">
        <v>0.5771</v>
      </c>
      <c r="I452" s="81">
        <f t="shared" si="1"/>
        <v>0.9180384682</v>
      </c>
      <c r="J452" s="81">
        <f t="shared" si="2"/>
        <v>0.5213659771</v>
      </c>
    </row>
    <row r="453">
      <c r="A453" s="82">
        <v>44665.0</v>
      </c>
      <c r="B453" s="66">
        <v>2379.0</v>
      </c>
      <c r="C453" s="66">
        <v>1.0</v>
      </c>
      <c r="D453" s="66" t="s">
        <v>204</v>
      </c>
      <c r="E453" s="66">
        <v>0.0</v>
      </c>
      <c r="F453" s="66">
        <v>1.2727</v>
      </c>
      <c r="G453" s="66">
        <v>0.6634</v>
      </c>
      <c r="H453" s="66" t="s">
        <v>226</v>
      </c>
      <c r="I453" s="81">
        <f t="shared" si="1"/>
        <v>0.918450407</v>
      </c>
      <c r="J453" s="81">
        <f t="shared" si="2"/>
        <v>0.5212540269</v>
      </c>
    </row>
    <row r="454">
      <c r="A454" s="82">
        <v>44665.0</v>
      </c>
      <c r="B454" s="66">
        <v>2379.0</v>
      </c>
      <c r="C454" s="66">
        <v>1.0</v>
      </c>
      <c r="D454" s="66" t="s">
        <v>204</v>
      </c>
      <c r="E454" s="66">
        <v>1.0</v>
      </c>
      <c r="F454" s="66">
        <v>0.2725</v>
      </c>
      <c r="G454" s="66">
        <v>0.142</v>
      </c>
      <c r="I454" s="81">
        <f t="shared" si="1"/>
        <v>0.9190140845</v>
      </c>
      <c r="J454" s="81">
        <f t="shared" si="2"/>
        <v>0.5211009174</v>
      </c>
    </row>
    <row r="455">
      <c r="A455" s="82">
        <v>44665.0</v>
      </c>
      <c r="B455" s="66">
        <v>2379.0</v>
      </c>
      <c r="C455" s="66">
        <v>2.0</v>
      </c>
      <c r="D455" s="66" t="s">
        <v>205</v>
      </c>
      <c r="E455" s="66">
        <v>0.0</v>
      </c>
      <c r="F455" s="66">
        <v>0.0735</v>
      </c>
      <c r="G455" s="66">
        <v>0.0383</v>
      </c>
      <c r="H455" s="66" t="s">
        <v>227</v>
      </c>
      <c r="I455" s="81">
        <f t="shared" si="1"/>
        <v>0.9190600522</v>
      </c>
      <c r="J455" s="81">
        <f t="shared" si="2"/>
        <v>0.5210884354</v>
      </c>
    </row>
    <row r="456">
      <c r="A456" s="82">
        <v>44665.0</v>
      </c>
      <c r="B456" s="66">
        <v>2379.0</v>
      </c>
      <c r="C456" s="66">
        <v>2.0</v>
      </c>
      <c r="D456" s="66" t="s">
        <v>204</v>
      </c>
      <c r="E456" s="66">
        <v>0.0</v>
      </c>
      <c r="F456" s="66">
        <v>0.8216</v>
      </c>
      <c r="G456" s="66">
        <v>0.428</v>
      </c>
      <c r="I456" s="81">
        <f t="shared" si="1"/>
        <v>0.9196261682</v>
      </c>
      <c r="J456" s="81">
        <f t="shared" si="2"/>
        <v>0.5209347614</v>
      </c>
    </row>
    <row r="457">
      <c r="A457" s="82">
        <v>44665.0</v>
      </c>
      <c r="B457" s="66">
        <v>2379.0</v>
      </c>
      <c r="C457" s="66">
        <v>2.0</v>
      </c>
      <c r="D457" s="66" t="s">
        <v>204</v>
      </c>
      <c r="E457" s="66">
        <v>1.0</v>
      </c>
      <c r="F457" s="66">
        <v>0.2156</v>
      </c>
      <c r="G457" s="66">
        <v>0.1123</v>
      </c>
      <c r="H457" s="66" t="s">
        <v>226</v>
      </c>
      <c r="I457" s="81">
        <f t="shared" si="1"/>
        <v>0.9198575245</v>
      </c>
      <c r="J457" s="81">
        <f t="shared" si="2"/>
        <v>0.5208719852</v>
      </c>
    </row>
    <row r="458">
      <c r="A458" s="82">
        <v>44665.0</v>
      </c>
      <c r="B458" s="66">
        <v>2379.0</v>
      </c>
      <c r="C458" s="66">
        <v>3.0</v>
      </c>
      <c r="D458" s="66" t="s">
        <v>205</v>
      </c>
      <c r="E458" s="66">
        <v>0.0</v>
      </c>
      <c r="F458" s="66">
        <v>0.2304</v>
      </c>
      <c r="G458" s="66">
        <v>0.12</v>
      </c>
      <c r="H458" s="66" t="s">
        <v>227</v>
      </c>
      <c r="I458" s="81">
        <f t="shared" si="1"/>
        <v>0.92</v>
      </c>
      <c r="J458" s="81">
        <f t="shared" si="2"/>
        <v>0.5208333333</v>
      </c>
    </row>
    <row r="459">
      <c r="A459" s="82">
        <v>44665.0</v>
      </c>
      <c r="B459" s="66">
        <v>2379.0</v>
      </c>
      <c r="C459" s="66">
        <v>3.0</v>
      </c>
      <c r="D459" s="66" t="s">
        <v>204</v>
      </c>
      <c r="E459" s="66">
        <v>0.0</v>
      </c>
      <c r="F459" s="66">
        <v>0.1037</v>
      </c>
      <c r="G459" s="66">
        <v>0.054</v>
      </c>
      <c r="I459" s="81">
        <f t="shared" si="1"/>
        <v>0.9203703704</v>
      </c>
      <c r="J459" s="81">
        <f t="shared" si="2"/>
        <v>0.5207328833</v>
      </c>
    </row>
    <row r="460">
      <c r="A460" s="82">
        <v>44665.0</v>
      </c>
      <c r="B460" s="66">
        <v>2379.0</v>
      </c>
      <c r="C460" s="66">
        <v>3.0</v>
      </c>
      <c r="D460" s="66" t="s">
        <v>204</v>
      </c>
      <c r="E460" s="66">
        <v>1.0</v>
      </c>
      <c r="F460" s="66">
        <v>0.5341</v>
      </c>
      <c r="G460" s="66">
        <v>0.278</v>
      </c>
      <c r="H460" s="66" t="s">
        <v>227</v>
      </c>
      <c r="I460" s="81">
        <f t="shared" si="1"/>
        <v>0.9212230216</v>
      </c>
      <c r="J460" s="81">
        <f t="shared" si="2"/>
        <v>0.5205017787</v>
      </c>
    </row>
    <row r="461">
      <c r="A461" s="82">
        <v>44665.0</v>
      </c>
      <c r="B461" s="66">
        <v>2380.0</v>
      </c>
      <c r="C461" s="66">
        <v>1.0</v>
      </c>
      <c r="D461" s="66" t="s">
        <v>205</v>
      </c>
      <c r="E461" s="66">
        <v>0.0</v>
      </c>
      <c r="F461" s="66">
        <v>1.1472</v>
      </c>
      <c r="G461" s="66">
        <v>0.597</v>
      </c>
      <c r="H461" s="66" t="s">
        <v>230</v>
      </c>
      <c r="I461" s="81">
        <f t="shared" si="1"/>
        <v>0.9216080402</v>
      </c>
      <c r="J461" s="81">
        <f t="shared" si="2"/>
        <v>0.5203974895</v>
      </c>
    </row>
    <row r="462">
      <c r="A462" s="82">
        <v>44665.0</v>
      </c>
      <c r="B462" s="66">
        <v>2380.0</v>
      </c>
      <c r="C462" s="66">
        <v>1.0</v>
      </c>
      <c r="D462" s="66" t="s">
        <v>205</v>
      </c>
      <c r="E462" s="66">
        <v>1.0</v>
      </c>
      <c r="F462" s="66">
        <v>0.2114</v>
      </c>
      <c r="G462" s="66">
        <v>0.11</v>
      </c>
      <c r="I462" s="81">
        <f t="shared" si="1"/>
        <v>0.9218181818</v>
      </c>
      <c r="J462" s="81">
        <f t="shared" si="2"/>
        <v>0.5203405866</v>
      </c>
    </row>
    <row r="463">
      <c r="A463" s="82">
        <v>44665.0</v>
      </c>
      <c r="B463" s="66">
        <v>2380.0</v>
      </c>
      <c r="C463" s="66">
        <v>1.0</v>
      </c>
      <c r="D463" s="66" t="s">
        <v>204</v>
      </c>
      <c r="E463" s="66">
        <v>0.0</v>
      </c>
      <c r="F463" s="66">
        <v>0.0817</v>
      </c>
      <c r="G463" s="66">
        <v>0.0425</v>
      </c>
      <c r="I463" s="81">
        <f t="shared" si="1"/>
        <v>0.9223529412</v>
      </c>
      <c r="J463" s="81">
        <f t="shared" si="2"/>
        <v>0.5201958384</v>
      </c>
    </row>
    <row r="464">
      <c r="A464" s="82">
        <v>44665.0</v>
      </c>
      <c r="B464" s="66">
        <v>2380.0</v>
      </c>
      <c r="C464" s="66">
        <v>1.0</v>
      </c>
      <c r="D464" s="66" t="s">
        <v>204</v>
      </c>
      <c r="E464" s="66">
        <v>1.0</v>
      </c>
      <c r="F464" s="66">
        <v>0.1461</v>
      </c>
      <c r="G464" s="66">
        <v>0.076</v>
      </c>
      <c r="I464" s="81">
        <f t="shared" si="1"/>
        <v>0.9223684211</v>
      </c>
      <c r="J464" s="81">
        <f t="shared" si="2"/>
        <v>0.5201916496</v>
      </c>
    </row>
    <row r="465">
      <c r="A465" s="82">
        <v>44665.0</v>
      </c>
      <c r="B465" s="66">
        <v>2380.0</v>
      </c>
      <c r="C465" s="66">
        <v>2.0</v>
      </c>
      <c r="D465" s="66" t="s">
        <v>205</v>
      </c>
      <c r="E465" s="66">
        <v>1.0</v>
      </c>
      <c r="F465" s="66">
        <v>0.0698</v>
      </c>
      <c r="G465" s="66">
        <v>0.0363</v>
      </c>
      <c r="I465" s="81">
        <f t="shared" si="1"/>
        <v>0.9228650138</v>
      </c>
      <c r="J465" s="81">
        <f t="shared" si="2"/>
        <v>0.5200573066</v>
      </c>
    </row>
    <row r="466">
      <c r="A466" s="82">
        <v>44665.0</v>
      </c>
      <c r="B466" s="66">
        <v>2380.0</v>
      </c>
      <c r="C466" s="66">
        <v>2.0</v>
      </c>
      <c r="D466" s="66" t="s">
        <v>204</v>
      </c>
      <c r="E466" s="66">
        <v>1.0</v>
      </c>
      <c r="F466" s="66">
        <v>0.05</v>
      </c>
      <c r="G466" s="66">
        <v>0.026</v>
      </c>
      <c r="I466" s="81">
        <f t="shared" si="1"/>
        <v>0.9230769231</v>
      </c>
      <c r="J466" s="81">
        <f t="shared" si="2"/>
        <v>0.52</v>
      </c>
    </row>
    <row r="467">
      <c r="A467" s="82">
        <v>44665.0</v>
      </c>
      <c r="B467" s="66">
        <v>2381.0</v>
      </c>
      <c r="C467" s="66">
        <v>1.0</v>
      </c>
      <c r="D467" s="66" t="s">
        <v>205</v>
      </c>
      <c r="E467" s="66">
        <v>0.0</v>
      </c>
      <c r="F467" s="66">
        <v>0.2558</v>
      </c>
      <c r="G467" s="66">
        <v>0.133</v>
      </c>
      <c r="H467" s="66" t="s">
        <v>227</v>
      </c>
      <c r="I467" s="81">
        <f t="shared" si="1"/>
        <v>0.9233082707</v>
      </c>
      <c r="J467" s="81">
        <f t="shared" si="2"/>
        <v>0.5199374511</v>
      </c>
    </row>
    <row r="468">
      <c r="A468" s="82">
        <v>44665.0</v>
      </c>
      <c r="B468" s="66">
        <v>2381.0</v>
      </c>
      <c r="C468" s="66">
        <v>1.0</v>
      </c>
      <c r="D468" s="66" t="s">
        <v>205</v>
      </c>
      <c r="E468" s="66">
        <v>1.0</v>
      </c>
      <c r="F468" s="66">
        <v>1.6221</v>
      </c>
      <c r="G468" s="66">
        <v>0.8433</v>
      </c>
      <c r="H468" s="66" t="s">
        <v>230</v>
      </c>
      <c r="I468" s="81">
        <f t="shared" si="1"/>
        <v>0.9235147634</v>
      </c>
      <c r="J468" s="81">
        <f t="shared" si="2"/>
        <v>0.5198816349</v>
      </c>
    </row>
    <row r="469">
      <c r="A469" s="82">
        <v>44665.0</v>
      </c>
      <c r="B469" s="66">
        <v>2381.0</v>
      </c>
      <c r="C469" s="66">
        <v>1.0</v>
      </c>
      <c r="D469" s="66" t="s">
        <v>204</v>
      </c>
      <c r="E469" s="66">
        <v>0.0</v>
      </c>
      <c r="F469" s="66">
        <v>0.6026</v>
      </c>
      <c r="G469" s="66">
        <v>0.3132</v>
      </c>
      <c r="I469" s="81">
        <f t="shared" si="1"/>
        <v>0.9240102171</v>
      </c>
      <c r="J469" s="81">
        <f t="shared" si="2"/>
        <v>0.5197477597</v>
      </c>
    </row>
    <row r="470">
      <c r="A470" s="82">
        <v>44665.0</v>
      </c>
      <c r="B470" s="66">
        <v>2381.0</v>
      </c>
      <c r="C470" s="66">
        <v>1.0</v>
      </c>
      <c r="D470" s="66" t="s">
        <v>204</v>
      </c>
      <c r="E470" s="66">
        <v>1.0</v>
      </c>
      <c r="F470" s="66">
        <v>0.2715</v>
      </c>
      <c r="G470" s="66">
        <v>0.1411</v>
      </c>
      <c r="I470" s="81">
        <f t="shared" si="1"/>
        <v>0.9241672573</v>
      </c>
      <c r="J470" s="81">
        <f t="shared" si="2"/>
        <v>0.5197053407</v>
      </c>
    </row>
    <row r="471">
      <c r="A471" s="82">
        <v>44665.0</v>
      </c>
      <c r="B471" s="66">
        <v>2381.0</v>
      </c>
      <c r="C471" s="66">
        <v>2.0</v>
      </c>
      <c r="D471" s="66" t="s">
        <v>205</v>
      </c>
      <c r="E471" s="66">
        <v>0.0</v>
      </c>
      <c r="F471" s="66">
        <v>1.2606</v>
      </c>
      <c r="G471" s="66">
        <v>0.655</v>
      </c>
      <c r="H471" s="66" t="s">
        <v>227</v>
      </c>
      <c r="I471" s="81">
        <f t="shared" si="1"/>
        <v>0.9245801527</v>
      </c>
      <c r="J471" s="81">
        <f t="shared" si="2"/>
        <v>0.5195938442</v>
      </c>
    </row>
    <row r="472">
      <c r="A472" s="82">
        <v>44665.0</v>
      </c>
      <c r="B472" s="66">
        <v>2381.0</v>
      </c>
      <c r="C472" s="66">
        <v>2.0</v>
      </c>
      <c r="D472" s="66" t="s">
        <v>205</v>
      </c>
      <c r="E472" s="66">
        <v>1.0</v>
      </c>
      <c r="F472" s="66">
        <v>1.813</v>
      </c>
      <c r="G472" s="66">
        <v>0.942</v>
      </c>
      <c r="H472" s="66" t="s">
        <v>227</v>
      </c>
      <c r="I472" s="81">
        <f t="shared" si="1"/>
        <v>0.9246284501</v>
      </c>
      <c r="J472" s="81">
        <f t="shared" si="2"/>
        <v>0.5195808053</v>
      </c>
    </row>
    <row r="473">
      <c r="A473" s="82">
        <v>44665.0</v>
      </c>
      <c r="B473" s="66">
        <v>2381.0</v>
      </c>
      <c r="C473" s="66">
        <v>2.0</v>
      </c>
      <c r="D473" s="66" t="s">
        <v>204</v>
      </c>
      <c r="E473" s="66">
        <v>0.0</v>
      </c>
      <c r="F473" s="66">
        <v>0.2891</v>
      </c>
      <c r="G473" s="66">
        <v>0.1502</v>
      </c>
      <c r="I473" s="81">
        <f t="shared" si="1"/>
        <v>0.9247669774</v>
      </c>
      <c r="J473" s="81">
        <f t="shared" si="2"/>
        <v>0.5195434106</v>
      </c>
    </row>
    <row r="474">
      <c r="A474" s="82">
        <v>44665.0</v>
      </c>
      <c r="B474" s="66">
        <v>2381.0</v>
      </c>
      <c r="C474" s="66">
        <v>2.0</v>
      </c>
      <c r="D474" s="66" t="s">
        <v>204</v>
      </c>
      <c r="E474" s="66">
        <v>0.0</v>
      </c>
      <c r="F474" s="66">
        <v>0.4486</v>
      </c>
      <c r="G474" s="66">
        <v>0.233</v>
      </c>
      <c r="H474" s="66" t="s">
        <v>227</v>
      </c>
      <c r="I474" s="81">
        <f t="shared" si="1"/>
        <v>0.9253218884</v>
      </c>
      <c r="J474" s="81">
        <f t="shared" si="2"/>
        <v>0.5193936692</v>
      </c>
    </row>
    <row r="475">
      <c r="A475" s="82">
        <v>44665.0</v>
      </c>
      <c r="B475" s="66">
        <v>2381.0</v>
      </c>
      <c r="C475" s="66">
        <v>2.0</v>
      </c>
      <c r="D475" s="66" t="s">
        <v>204</v>
      </c>
      <c r="E475" s="66">
        <v>1.0</v>
      </c>
      <c r="F475" s="66">
        <v>0.3031</v>
      </c>
      <c r="G475" s="66">
        <v>0.1574</v>
      </c>
      <c r="I475" s="81">
        <f t="shared" si="1"/>
        <v>0.9256670902</v>
      </c>
      <c r="J475" s="81">
        <f t="shared" si="2"/>
        <v>0.5193005609</v>
      </c>
    </row>
    <row r="476">
      <c r="A476" s="82">
        <v>44665.0</v>
      </c>
      <c r="B476" s="66">
        <v>2381.0</v>
      </c>
      <c r="C476" s="66">
        <v>3.0</v>
      </c>
      <c r="D476" s="66" t="s">
        <v>205</v>
      </c>
      <c r="E476" s="66">
        <v>0.0</v>
      </c>
      <c r="F476" s="66">
        <v>0.4911</v>
      </c>
      <c r="G476" s="66">
        <v>0.255</v>
      </c>
      <c r="H476" s="66" t="s">
        <v>227</v>
      </c>
      <c r="I476" s="81">
        <f t="shared" si="1"/>
        <v>0.9258823529</v>
      </c>
      <c r="J476" s="81">
        <f t="shared" si="2"/>
        <v>0.5192425168</v>
      </c>
    </row>
    <row r="477">
      <c r="A477" s="82">
        <v>44665.0</v>
      </c>
      <c r="B477" s="66">
        <v>2381.0</v>
      </c>
      <c r="C477" s="66">
        <v>3.0</v>
      </c>
      <c r="D477" s="66" t="s">
        <v>205</v>
      </c>
      <c r="E477" s="66">
        <v>1.0</v>
      </c>
      <c r="F477" s="66">
        <v>0.5181</v>
      </c>
      <c r="G477" s="66">
        <v>0.269</v>
      </c>
      <c r="H477" s="66" t="s">
        <v>227</v>
      </c>
      <c r="I477" s="81">
        <f t="shared" si="1"/>
        <v>0.9260223048</v>
      </c>
      <c r="J477" s="81">
        <f t="shared" si="2"/>
        <v>0.5192047867</v>
      </c>
    </row>
    <row r="478">
      <c r="A478" s="82">
        <v>44665.0</v>
      </c>
      <c r="B478" s="66">
        <v>2381.0</v>
      </c>
      <c r="C478" s="66">
        <v>3.0</v>
      </c>
      <c r="D478" s="66" t="s">
        <v>204</v>
      </c>
      <c r="E478" s="66">
        <v>0.0</v>
      </c>
      <c r="F478" s="66">
        <v>0.2138</v>
      </c>
      <c r="G478" s="66">
        <v>0.111</v>
      </c>
      <c r="H478" s="66" t="s">
        <v>227</v>
      </c>
      <c r="I478" s="81">
        <f t="shared" si="1"/>
        <v>0.9261261261</v>
      </c>
      <c r="J478" s="81">
        <f t="shared" si="2"/>
        <v>0.5191768007</v>
      </c>
    </row>
    <row r="479">
      <c r="A479" s="82">
        <v>44665.0</v>
      </c>
      <c r="B479" s="66">
        <v>2381.0</v>
      </c>
      <c r="C479" s="66">
        <v>3.0</v>
      </c>
      <c r="D479" s="66" t="s">
        <v>204</v>
      </c>
      <c r="E479" s="66">
        <v>0.0</v>
      </c>
      <c r="F479" s="66">
        <v>1.1397</v>
      </c>
      <c r="G479" s="66">
        <v>0.5917</v>
      </c>
      <c r="I479" s="81">
        <f t="shared" si="1"/>
        <v>0.9261450059</v>
      </c>
      <c r="J479" s="81">
        <f t="shared" si="2"/>
        <v>0.5191717119</v>
      </c>
    </row>
    <row r="480">
      <c r="A480" s="82">
        <v>44665.0</v>
      </c>
      <c r="B480" s="66">
        <v>2381.0</v>
      </c>
      <c r="C480" s="66">
        <v>3.0</v>
      </c>
      <c r="D480" s="66" t="s">
        <v>204</v>
      </c>
      <c r="E480" s="66">
        <v>1.0</v>
      </c>
      <c r="F480" s="66">
        <v>0.2484</v>
      </c>
      <c r="G480" s="66">
        <v>0.1289</v>
      </c>
      <c r="H480" s="66" t="s">
        <v>230</v>
      </c>
      <c r="I480" s="81">
        <f t="shared" si="1"/>
        <v>0.9270752521</v>
      </c>
      <c r="J480" s="81">
        <f t="shared" si="2"/>
        <v>0.518921095</v>
      </c>
    </row>
    <row r="481">
      <c r="A481" s="82">
        <v>44665.0</v>
      </c>
      <c r="B481" s="66">
        <v>2381.0</v>
      </c>
      <c r="C481" s="66">
        <v>3.0</v>
      </c>
      <c r="D481" s="66" t="s">
        <v>204</v>
      </c>
      <c r="E481" s="66">
        <v>1.0</v>
      </c>
      <c r="F481" s="66">
        <v>1.8793</v>
      </c>
      <c r="G481" s="66">
        <v>0.9752</v>
      </c>
      <c r="I481" s="81">
        <f t="shared" si="1"/>
        <v>0.9270918786</v>
      </c>
      <c r="J481" s="81">
        <f t="shared" si="2"/>
        <v>0.5189166179</v>
      </c>
    </row>
    <row r="482">
      <c r="A482" s="82">
        <v>44665.0</v>
      </c>
      <c r="B482" s="66">
        <v>2382.0</v>
      </c>
      <c r="C482" s="66">
        <v>1.0</v>
      </c>
      <c r="D482" s="66" t="s">
        <v>204</v>
      </c>
      <c r="E482" s="66">
        <v>0.0</v>
      </c>
      <c r="F482" s="66">
        <v>2.0579</v>
      </c>
      <c r="G482" s="66">
        <v>1.0677</v>
      </c>
      <c r="I482" s="81">
        <f t="shared" si="1"/>
        <v>0.9274140676</v>
      </c>
      <c r="J482" s="81">
        <f t="shared" si="2"/>
        <v>0.5188298751</v>
      </c>
    </row>
    <row r="483">
      <c r="A483" s="82">
        <v>44665.0</v>
      </c>
      <c r="B483" s="66">
        <v>2382.0</v>
      </c>
      <c r="C483" s="66">
        <v>2.0</v>
      </c>
      <c r="D483" s="66" t="s">
        <v>204</v>
      </c>
      <c r="E483" s="66">
        <v>1.0</v>
      </c>
      <c r="F483" s="66">
        <v>0.2988</v>
      </c>
      <c r="G483" s="66">
        <v>0.155</v>
      </c>
      <c r="I483" s="81">
        <f t="shared" si="1"/>
        <v>0.9277419355</v>
      </c>
      <c r="J483" s="81">
        <f t="shared" si="2"/>
        <v>0.5187416332</v>
      </c>
    </row>
    <row r="484">
      <c r="A484" s="82">
        <v>44665.0</v>
      </c>
      <c r="B484" s="66">
        <v>2383.0</v>
      </c>
      <c r="C484" s="66">
        <v>1.0</v>
      </c>
      <c r="D484" s="66" t="s">
        <v>204</v>
      </c>
      <c r="E484" s="66">
        <v>0.0</v>
      </c>
      <c r="F484" s="66">
        <v>0.0887</v>
      </c>
      <c r="G484" s="66">
        <v>0.046</v>
      </c>
      <c r="H484" s="66" t="s">
        <v>227</v>
      </c>
      <c r="I484" s="81">
        <f t="shared" si="1"/>
        <v>0.9282608696</v>
      </c>
      <c r="J484" s="81">
        <f t="shared" si="2"/>
        <v>0.5186020293</v>
      </c>
    </row>
    <row r="485">
      <c r="A485" s="82">
        <v>44665.0</v>
      </c>
      <c r="B485" s="66">
        <v>2383.0</v>
      </c>
      <c r="C485" s="66">
        <v>1.0</v>
      </c>
      <c r="D485" s="66" t="s">
        <v>204</v>
      </c>
      <c r="E485" s="66">
        <v>1.0</v>
      </c>
      <c r="F485" s="66">
        <v>0.1909</v>
      </c>
      <c r="G485" s="66">
        <v>0.099</v>
      </c>
      <c r="I485" s="81">
        <f t="shared" si="1"/>
        <v>0.9282828283</v>
      </c>
      <c r="J485" s="81">
        <f t="shared" si="2"/>
        <v>0.5185961236</v>
      </c>
    </row>
    <row r="486">
      <c r="A486" s="82">
        <v>44665.0</v>
      </c>
      <c r="B486" s="66">
        <v>2383.0</v>
      </c>
      <c r="C486" s="66">
        <v>2.0</v>
      </c>
      <c r="D486" s="66" t="s">
        <v>205</v>
      </c>
      <c r="E486" s="66">
        <v>0.0</v>
      </c>
      <c r="F486" s="66">
        <v>0.6116</v>
      </c>
      <c r="G486" s="66">
        <v>0.317</v>
      </c>
      <c r="H486" s="66" t="s">
        <v>227</v>
      </c>
      <c r="I486" s="81">
        <f t="shared" si="1"/>
        <v>0.9293375394</v>
      </c>
      <c r="J486" s="81">
        <f t="shared" si="2"/>
        <v>0.5183126226</v>
      </c>
    </row>
    <row r="487">
      <c r="A487" s="82">
        <v>44665.0</v>
      </c>
      <c r="B487" s="66">
        <v>2383.0</v>
      </c>
      <c r="C487" s="66">
        <v>2.0</v>
      </c>
      <c r="D487" s="66" t="s">
        <v>204</v>
      </c>
      <c r="E487" s="66">
        <v>0.0</v>
      </c>
      <c r="F487" s="66">
        <v>2.1312</v>
      </c>
      <c r="G487" s="66">
        <v>1.1045</v>
      </c>
      <c r="I487" s="81">
        <f t="shared" si="1"/>
        <v>0.9295608873</v>
      </c>
      <c r="J487" s="81">
        <f t="shared" si="2"/>
        <v>0.5182526276</v>
      </c>
    </row>
    <row r="488">
      <c r="A488" s="82">
        <v>44665.0</v>
      </c>
      <c r="B488" s="66">
        <v>2383.0</v>
      </c>
      <c r="C488" s="66">
        <v>2.0</v>
      </c>
      <c r="D488" s="66" t="s">
        <v>204</v>
      </c>
      <c r="E488" s="66">
        <v>1.0</v>
      </c>
      <c r="F488" s="66">
        <v>0.1595</v>
      </c>
      <c r="G488" s="66">
        <v>0.0826</v>
      </c>
      <c r="H488" s="66" t="s">
        <v>227</v>
      </c>
      <c r="I488" s="81">
        <f t="shared" si="1"/>
        <v>0.9309927361</v>
      </c>
      <c r="J488" s="81">
        <f t="shared" si="2"/>
        <v>0.5178683386</v>
      </c>
    </row>
    <row r="489">
      <c r="A489" s="82">
        <v>44665.0</v>
      </c>
      <c r="B489" s="66">
        <v>2383.0</v>
      </c>
      <c r="C489" s="66">
        <v>3.0</v>
      </c>
      <c r="D489" s="66" t="s">
        <v>205</v>
      </c>
      <c r="E489" s="66" t="s">
        <v>58</v>
      </c>
      <c r="F489" s="66">
        <v>0.9474</v>
      </c>
      <c r="G489" s="66">
        <v>0.4906</v>
      </c>
      <c r="I489" s="81">
        <f t="shared" si="1"/>
        <v>0.9311047697</v>
      </c>
      <c r="J489" s="81">
        <f t="shared" si="2"/>
        <v>0.5178382943</v>
      </c>
    </row>
    <row r="490">
      <c r="A490" s="82">
        <v>44665.0</v>
      </c>
      <c r="B490" s="66">
        <v>2383.0</v>
      </c>
      <c r="C490" s="66">
        <v>3.0</v>
      </c>
      <c r="D490" s="66" t="s">
        <v>204</v>
      </c>
      <c r="E490" s="66">
        <v>0.0</v>
      </c>
      <c r="F490" s="66">
        <v>0.6387</v>
      </c>
      <c r="G490" s="66">
        <v>0.3306</v>
      </c>
      <c r="I490" s="81">
        <f t="shared" si="1"/>
        <v>0.9319419238</v>
      </c>
      <c r="J490" s="81">
        <f t="shared" si="2"/>
        <v>0.5176139032</v>
      </c>
    </row>
    <row r="491">
      <c r="A491" s="82">
        <v>44665.0</v>
      </c>
      <c r="B491" s="66">
        <v>2383.0</v>
      </c>
      <c r="C491" s="66">
        <v>3.0</v>
      </c>
      <c r="D491" s="66" t="s">
        <v>204</v>
      </c>
      <c r="E491" s="66">
        <v>1.0</v>
      </c>
      <c r="F491" s="66">
        <v>0.8192</v>
      </c>
      <c r="G491" s="66">
        <v>0.424</v>
      </c>
      <c r="H491" s="66" t="s">
        <v>226</v>
      </c>
      <c r="I491" s="81">
        <f t="shared" si="1"/>
        <v>0.9320754717</v>
      </c>
      <c r="J491" s="81">
        <f t="shared" si="2"/>
        <v>0.517578125</v>
      </c>
    </row>
    <row r="492">
      <c r="A492" s="82">
        <v>44665.0</v>
      </c>
      <c r="B492" s="66">
        <v>2384.0</v>
      </c>
      <c r="C492" s="66">
        <v>1.0</v>
      </c>
      <c r="D492" s="66" t="s">
        <v>205</v>
      </c>
      <c r="E492" s="66">
        <v>0.0</v>
      </c>
      <c r="F492" s="66">
        <v>0.201</v>
      </c>
      <c r="G492" s="66">
        <v>0.104</v>
      </c>
      <c r="H492" s="66" t="s">
        <v>227</v>
      </c>
      <c r="I492" s="81">
        <f t="shared" si="1"/>
        <v>0.9326923077</v>
      </c>
      <c r="J492" s="81">
        <f t="shared" si="2"/>
        <v>0.5174129353</v>
      </c>
    </row>
    <row r="493">
      <c r="A493" s="82">
        <v>44665.0</v>
      </c>
      <c r="B493" s="66">
        <v>2384.0</v>
      </c>
      <c r="C493" s="66">
        <v>1.0</v>
      </c>
      <c r="D493" s="66" t="s">
        <v>204</v>
      </c>
      <c r="E493" s="66">
        <v>0.0</v>
      </c>
      <c r="F493" s="66">
        <v>0.092</v>
      </c>
      <c r="G493" s="66">
        <v>0.0476</v>
      </c>
      <c r="I493" s="81">
        <f t="shared" si="1"/>
        <v>0.9327731092</v>
      </c>
      <c r="J493" s="81">
        <f t="shared" si="2"/>
        <v>0.5173913043</v>
      </c>
    </row>
    <row r="494">
      <c r="A494" s="82">
        <v>44665.0</v>
      </c>
      <c r="B494" s="66">
        <v>2384.0</v>
      </c>
      <c r="C494" s="66">
        <v>1.0</v>
      </c>
      <c r="D494" s="66" t="s">
        <v>204</v>
      </c>
      <c r="E494" s="66">
        <v>1.0</v>
      </c>
      <c r="F494" s="66">
        <v>1.216</v>
      </c>
      <c r="G494" s="66">
        <v>0.629</v>
      </c>
      <c r="H494" s="66" t="s">
        <v>227</v>
      </c>
      <c r="I494" s="81">
        <f t="shared" si="1"/>
        <v>0.933227345</v>
      </c>
      <c r="J494" s="81">
        <f t="shared" si="2"/>
        <v>0.5172697368</v>
      </c>
    </row>
    <row r="495">
      <c r="A495" s="82">
        <v>44665.0</v>
      </c>
      <c r="B495" s="66">
        <v>2384.0</v>
      </c>
      <c r="C495" s="66">
        <v>2.0</v>
      </c>
      <c r="D495" s="66" t="s">
        <v>205</v>
      </c>
      <c r="E495" s="66">
        <v>0.0</v>
      </c>
      <c r="F495" s="66">
        <v>0.2978</v>
      </c>
      <c r="G495" s="84">
        <v>0.154</v>
      </c>
      <c r="I495" s="81">
        <f t="shared" si="1"/>
        <v>0.9337662338</v>
      </c>
      <c r="J495" s="81">
        <f t="shared" si="2"/>
        <v>0.5171255876</v>
      </c>
    </row>
    <row r="496">
      <c r="A496" s="82">
        <v>44665.0</v>
      </c>
      <c r="B496" s="66">
        <v>2384.0</v>
      </c>
      <c r="C496" s="66">
        <v>2.0</v>
      </c>
      <c r="D496" s="66" t="s">
        <v>204</v>
      </c>
      <c r="E496" s="66">
        <v>0.0</v>
      </c>
      <c r="F496" s="66">
        <v>0.9331</v>
      </c>
      <c r="G496" s="66">
        <v>0.4825</v>
      </c>
      <c r="H496" s="66" t="s">
        <v>230</v>
      </c>
      <c r="I496" s="81">
        <f t="shared" si="1"/>
        <v>0.9338860104</v>
      </c>
      <c r="J496" s="81">
        <f t="shared" si="2"/>
        <v>0.5170935591</v>
      </c>
    </row>
    <row r="497">
      <c r="A497" s="82">
        <v>44665.0</v>
      </c>
      <c r="B497" s="66">
        <v>2384.0</v>
      </c>
      <c r="C497" s="66">
        <v>2.0</v>
      </c>
      <c r="D497" s="66" t="s">
        <v>204</v>
      </c>
      <c r="E497" s="66">
        <v>1.0</v>
      </c>
      <c r="F497" s="66">
        <v>0.4754</v>
      </c>
      <c r="G497" s="66">
        <v>0.2458</v>
      </c>
      <c r="I497" s="81">
        <f t="shared" si="1"/>
        <v>0.9340927583</v>
      </c>
      <c r="J497" s="81">
        <f t="shared" si="2"/>
        <v>0.5170382836</v>
      </c>
    </row>
    <row r="498">
      <c r="A498" s="82">
        <v>44665.0</v>
      </c>
      <c r="B498" s="66">
        <v>2384.0</v>
      </c>
      <c r="C498" s="66">
        <v>3.0</v>
      </c>
      <c r="D498" s="66" t="s">
        <v>205</v>
      </c>
      <c r="E498" s="66">
        <v>0.0</v>
      </c>
      <c r="F498" s="66">
        <v>0.1087</v>
      </c>
      <c r="G498" s="66">
        <v>0.0562</v>
      </c>
      <c r="I498" s="81">
        <f t="shared" si="1"/>
        <v>0.9341637011</v>
      </c>
      <c r="J498" s="81">
        <f t="shared" si="2"/>
        <v>0.5170193192</v>
      </c>
    </row>
    <row r="499">
      <c r="A499" s="82">
        <v>44665.0</v>
      </c>
      <c r="B499" s="66">
        <v>2384.0</v>
      </c>
      <c r="C499" s="66">
        <v>3.0</v>
      </c>
      <c r="D499" s="66" t="s">
        <v>204</v>
      </c>
      <c r="E499" s="66">
        <v>0.0</v>
      </c>
      <c r="F499" s="66">
        <v>0.1567</v>
      </c>
      <c r="G499" s="66">
        <v>0.081</v>
      </c>
      <c r="I499" s="81">
        <f t="shared" si="1"/>
        <v>0.9345679012</v>
      </c>
      <c r="J499" s="81">
        <f t="shared" si="2"/>
        <v>0.5169112955</v>
      </c>
    </row>
    <row r="500">
      <c r="A500" s="82">
        <v>44665.0</v>
      </c>
      <c r="B500" s="66">
        <v>2384.0</v>
      </c>
      <c r="C500" s="66">
        <v>3.0</v>
      </c>
      <c r="D500" s="66" t="s">
        <v>204</v>
      </c>
      <c r="E500" s="66">
        <v>1.0</v>
      </c>
      <c r="F500" s="66">
        <v>0.7245</v>
      </c>
      <c r="G500" s="66">
        <v>0.3745</v>
      </c>
      <c r="H500" s="66" t="s">
        <v>226</v>
      </c>
      <c r="I500" s="81">
        <f t="shared" si="1"/>
        <v>0.9345794393</v>
      </c>
      <c r="J500" s="81">
        <f t="shared" si="2"/>
        <v>0.5169082126</v>
      </c>
    </row>
    <row r="501">
      <c r="A501" s="82">
        <v>44684.0</v>
      </c>
      <c r="B501" s="66">
        <v>2009.0</v>
      </c>
      <c r="C501" s="66">
        <v>1.0</v>
      </c>
      <c r="D501" s="66" t="s">
        <v>205</v>
      </c>
      <c r="E501" s="66">
        <v>0.0</v>
      </c>
      <c r="F501" s="66">
        <v>4.1228</v>
      </c>
      <c r="G501" s="66">
        <v>2.131</v>
      </c>
      <c r="H501" s="66" t="s">
        <v>230</v>
      </c>
      <c r="I501" s="81">
        <f t="shared" si="1"/>
        <v>0.9346785547</v>
      </c>
      <c r="J501" s="81">
        <f t="shared" si="2"/>
        <v>0.5168817309</v>
      </c>
    </row>
    <row r="502">
      <c r="A502" s="82">
        <v>44684.0</v>
      </c>
      <c r="B502" s="66">
        <v>2009.0</v>
      </c>
      <c r="C502" s="66">
        <v>1.0</v>
      </c>
      <c r="D502" s="66" t="s">
        <v>204</v>
      </c>
      <c r="E502" s="66">
        <v>0.0</v>
      </c>
      <c r="F502" s="66">
        <v>1.2313</v>
      </c>
      <c r="G502" s="66">
        <v>0.6363</v>
      </c>
      <c r="H502" s="66" t="s">
        <v>226</v>
      </c>
      <c r="I502" s="81">
        <f t="shared" si="1"/>
        <v>0.9350935094</v>
      </c>
      <c r="J502" s="81">
        <f t="shared" si="2"/>
        <v>0.5167708926</v>
      </c>
    </row>
    <row r="503">
      <c r="A503" s="82">
        <v>44684.0</v>
      </c>
      <c r="B503" s="66">
        <v>2009.0</v>
      </c>
      <c r="C503" s="66">
        <v>1.0</v>
      </c>
      <c r="D503" s="66" t="s">
        <v>204</v>
      </c>
      <c r="E503" s="66">
        <v>1.0</v>
      </c>
      <c r="F503" s="66">
        <v>0.2343</v>
      </c>
      <c r="G503" s="66">
        <v>0.121</v>
      </c>
      <c r="H503" s="66" t="s">
        <v>226</v>
      </c>
      <c r="I503" s="81">
        <f t="shared" si="1"/>
        <v>0.9363636364</v>
      </c>
      <c r="J503" s="81">
        <f t="shared" si="2"/>
        <v>0.5164319249</v>
      </c>
    </row>
    <row r="504">
      <c r="A504" s="82">
        <v>44684.0</v>
      </c>
      <c r="B504" s="66">
        <v>2009.0</v>
      </c>
      <c r="C504" s="66">
        <v>2.0</v>
      </c>
      <c r="D504" s="66" t="s">
        <v>205</v>
      </c>
      <c r="E504" s="66">
        <v>0.0</v>
      </c>
      <c r="F504" s="66">
        <v>0.5695</v>
      </c>
      <c r="G504" s="66">
        <v>0.2941</v>
      </c>
      <c r="I504" s="81">
        <f t="shared" si="1"/>
        <v>0.936416185</v>
      </c>
      <c r="J504" s="81">
        <f t="shared" si="2"/>
        <v>0.5164179104</v>
      </c>
    </row>
    <row r="505">
      <c r="A505" s="82">
        <v>44684.0</v>
      </c>
      <c r="B505" s="66">
        <v>2009.0</v>
      </c>
      <c r="C505" s="66">
        <v>2.0</v>
      </c>
      <c r="D505" s="66" t="s">
        <v>204</v>
      </c>
      <c r="E505" s="66">
        <v>0.0</v>
      </c>
      <c r="F505" s="66">
        <v>0.031</v>
      </c>
      <c r="G505" s="66">
        <v>0.016</v>
      </c>
      <c r="H505" s="66" t="s">
        <v>227</v>
      </c>
      <c r="I505" s="81">
        <f t="shared" si="1"/>
        <v>0.9375</v>
      </c>
      <c r="J505" s="81">
        <f t="shared" si="2"/>
        <v>0.5161290323</v>
      </c>
    </row>
    <row r="506">
      <c r="A506" s="82">
        <v>44684.0</v>
      </c>
      <c r="B506" s="66">
        <v>2009.0</v>
      </c>
      <c r="C506" s="66">
        <v>2.0</v>
      </c>
      <c r="D506" s="66" t="s">
        <v>204</v>
      </c>
      <c r="E506" s="66">
        <v>1.0</v>
      </c>
      <c r="F506" s="66">
        <v>1.3589</v>
      </c>
      <c r="G506" s="66">
        <v>0.7013</v>
      </c>
      <c r="I506" s="81">
        <f t="shared" si="1"/>
        <v>0.9376871524</v>
      </c>
      <c r="J506" s="81">
        <f t="shared" si="2"/>
        <v>0.5160791817</v>
      </c>
    </row>
    <row r="507">
      <c r="A507" s="82">
        <v>44684.0</v>
      </c>
      <c r="B507" s="66">
        <v>2009.0</v>
      </c>
      <c r="C507" s="66">
        <v>3.0</v>
      </c>
      <c r="D507" s="66" t="s">
        <v>205</v>
      </c>
      <c r="E507" s="66">
        <v>0.0</v>
      </c>
      <c r="F507" s="66">
        <v>0.4463</v>
      </c>
      <c r="G507" s="66">
        <v>0.2303</v>
      </c>
      <c r="H507" s="66" t="s">
        <v>230</v>
      </c>
      <c r="I507" s="81">
        <f t="shared" si="1"/>
        <v>0.9379070777</v>
      </c>
      <c r="J507" s="81">
        <f t="shared" si="2"/>
        <v>0.5160206139</v>
      </c>
    </row>
    <row r="508">
      <c r="A508" s="82">
        <v>44684.0</v>
      </c>
      <c r="B508" s="66">
        <v>2009.0</v>
      </c>
      <c r="C508" s="66">
        <v>3.0</v>
      </c>
      <c r="D508" s="66" t="s">
        <v>204</v>
      </c>
      <c r="E508" s="66">
        <v>0.0</v>
      </c>
      <c r="F508" s="66">
        <v>1.1733</v>
      </c>
      <c r="G508" s="66">
        <v>0.6053</v>
      </c>
      <c r="H508" s="66" t="s">
        <v>230</v>
      </c>
      <c r="I508" s="81">
        <f t="shared" si="1"/>
        <v>0.938377664</v>
      </c>
      <c r="J508" s="81">
        <f t="shared" si="2"/>
        <v>0.5158953379</v>
      </c>
    </row>
    <row r="509">
      <c r="A509" s="82">
        <v>44684.0</v>
      </c>
      <c r="B509" s="66">
        <v>2009.0</v>
      </c>
      <c r="C509" s="66">
        <v>3.0</v>
      </c>
      <c r="D509" s="66" t="s">
        <v>204</v>
      </c>
      <c r="E509" s="66">
        <v>1.0</v>
      </c>
      <c r="F509" s="66">
        <v>0.9126</v>
      </c>
      <c r="G509" s="66">
        <v>0.4707</v>
      </c>
      <c r="H509" s="66" t="s">
        <v>230</v>
      </c>
      <c r="I509" s="81">
        <f t="shared" si="1"/>
        <v>0.9388145315</v>
      </c>
      <c r="J509" s="81">
        <f t="shared" si="2"/>
        <v>0.5157790927</v>
      </c>
    </row>
    <row r="510">
      <c r="A510" s="82">
        <v>44684.0</v>
      </c>
      <c r="B510" s="66">
        <v>2010.0</v>
      </c>
      <c r="C510" s="66">
        <v>1.0</v>
      </c>
      <c r="D510" s="66" t="s">
        <v>205</v>
      </c>
      <c r="E510" s="66">
        <v>0.0</v>
      </c>
      <c r="F510" s="66">
        <v>1.8365</v>
      </c>
      <c r="G510" s="66">
        <v>0.947</v>
      </c>
      <c r="I510" s="81">
        <f t="shared" si="1"/>
        <v>0.939281943</v>
      </c>
      <c r="J510" s="81">
        <f t="shared" si="2"/>
        <v>0.5156547781</v>
      </c>
    </row>
    <row r="511">
      <c r="A511" s="82">
        <v>44684.0</v>
      </c>
      <c r="B511" s="66">
        <v>2010.0</v>
      </c>
      <c r="C511" s="66">
        <v>1.0</v>
      </c>
      <c r="D511" s="66" t="s">
        <v>204</v>
      </c>
      <c r="E511" s="66">
        <v>0.0</v>
      </c>
      <c r="F511" s="66">
        <v>0.735</v>
      </c>
      <c r="G511" s="66">
        <v>0.379</v>
      </c>
      <c r="H511" s="66" t="s">
        <v>227</v>
      </c>
      <c r="I511" s="81">
        <f t="shared" si="1"/>
        <v>0.9393139842</v>
      </c>
      <c r="J511" s="81">
        <f t="shared" si="2"/>
        <v>0.5156462585</v>
      </c>
    </row>
    <row r="512">
      <c r="A512" s="82">
        <v>44684.0</v>
      </c>
      <c r="B512" s="66">
        <v>2010.0</v>
      </c>
      <c r="C512" s="66">
        <v>2.0</v>
      </c>
      <c r="D512" s="66" t="s">
        <v>205</v>
      </c>
      <c r="E512" s="66">
        <v>0.0</v>
      </c>
      <c r="F512" s="66">
        <v>0.3452</v>
      </c>
      <c r="G512" s="66">
        <v>0.178</v>
      </c>
      <c r="I512" s="81">
        <f t="shared" si="1"/>
        <v>0.9393258427</v>
      </c>
      <c r="J512" s="81">
        <f t="shared" si="2"/>
        <v>0.5156431054</v>
      </c>
    </row>
    <row r="513">
      <c r="A513" s="82">
        <v>44684.0</v>
      </c>
      <c r="B513" s="66">
        <v>2010.0</v>
      </c>
      <c r="C513" s="66">
        <v>2.0</v>
      </c>
      <c r="D513" s="66" t="s">
        <v>204</v>
      </c>
      <c r="E513" s="66">
        <v>0.0</v>
      </c>
      <c r="F513" s="66">
        <v>0.4827</v>
      </c>
      <c r="G513" s="66">
        <v>0.2489</v>
      </c>
      <c r="I513" s="81">
        <f t="shared" si="1"/>
        <v>0.9393330655</v>
      </c>
      <c r="J513" s="81">
        <f t="shared" si="2"/>
        <v>0.515641185</v>
      </c>
    </row>
    <row r="514">
      <c r="A514" s="82">
        <v>44684.0</v>
      </c>
      <c r="B514" s="66">
        <v>2010.0</v>
      </c>
      <c r="C514" s="66">
        <v>2.0</v>
      </c>
      <c r="D514" s="66" t="s">
        <v>204</v>
      </c>
      <c r="E514" s="66">
        <v>1.0</v>
      </c>
      <c r="F514" s="66">
        <v>0.5783</v>
      </c>
      <c r="G514" s="66">
        <v>0.298</v>
      </c>
      <c r="I514" s="81">
        <f t="shared" si="1"/>
        <v>0.9406040268</v>
      </c>
      <c r="J514" s="81">
        <f t="shared" si="2"/>
        <v>0.5153034757</v>
      </c>
    </row>
    <row r="515">
      <c r="A515" s="82">
        <v>44684.0</v>
      </c>
      <c r="B515" s="66">
        <v>2010.0</v>
      </c>
      <c r="C515" s="66">
        <v>3.0</v>
      </c>
      <c r="D515" s="66" t="s">
        <v>205</v>
      </c>
      <c r="E515" s="66">
        <v>0.0</v>
      </c>
      <c r="F515" s="66">
        <v>0.118</v>
      </c>
      <c r="G515" s="66">
        <v>0.0608</v>
      </c>
      <c r="H515" s="66" t="s">
        <v>230</v>
      </c>
      <c r="I515" s="81">
        <f t="shared" si="1"/>
        <v>0.9407894737</v>
      </c>
      <c r="J515" s="81">
        <f t="shared" si="2"/>
        <v>0.5152542373</v>
      </c>
    </row>
    <row r="516">
      <c r="A516" s="82">
        <v>44684.0</v>
      </c>
      <c r="B516" s="66">
        <v>2010.0</v>
      </c>
      <c r="C516" s="66">
        <v>3.0</v>
      </c>
      <c r="D516" s="66" t="s">
        <v>204</v>
      </c>
      <c r="E516" s="66">
        <v>0.0</v>
      </c>
      <c r="F516" s="66">
        <v>0.5144</v>
      </c>
      <c r="G516" s="66">
        <v>0.265</v>
      </c>
      <c r="H516" s="66" t="s">
        <v>226</v>
      </c>
      <c r="I516" s="81">
        <f t="shared" si="1"/>
        <v>0.9411320755</v>
      </c>
      <c r="J516" s="81">
        <f t="shared" si="2"/>
        <v>0.515163297</v>
      </c>
    </row>
    <row r="517">
      <c r="A517" s="82">
        <v>44684.0</v>
      </c>
      <c r="B517" s="66">
        <v>2010.0</v>
      </c>
      <c r="C517" s="66">
        <v>3.0</v>
      </c>
      <c r="D517" s="66" t="s">
        <v>204</v>
      </c>
      <c r="E517" s="66">
        <v>1.0</v>
      </c>
      <c r="F517" s="66">
        <v>0.1652</v>
      </c>
      <c r="G517" s="66">
        <v>0.0851</v>
      </c>
      <c r="H517" s="66" t="s">
        <v>226</v>
      </c>
      <c r="I517" s="81">
        <f t="shared" si="1"/>
        <v>0.9412455934</v>
      </c>
      <c r="J517" s="81">
        <f t="shared" si="2"/>
        <v>0.5151331719</v>
      </c>
    </row>
    <row r="518">
      <c r="A518" s="82">
        <v>44684.0</v>
      </c>
      <c r="B518" s="66">
        <v>2081.0</v>
      </c>
      <c r="C518" s="66">
        <v>1.0</v>
      </c>
      <c r="D518" s="66" t="s">
        <v>205</v>
      </c>
      <c r="E518" s="66">
        <v>0.0</v>
      </c>
      <c r="F518" s="66">
        <v>0.2107</v>
      </c>
      <c r="G518" s="66">
        <v>0.1085</v>
      </c>
      <c r="I518" s="81">
        <f t="shared" si="1"/>
        <v>0.9419354839</v>
      </c>
      <c r="J518" s="81">
        <f t="shared" si="2"/>
        <v>0.5149501661</v>
      </c>
    </row>
    <row r="519">
      <c r="A519" s="82">
        <v>44684.0</v>
      </c>
      <c r="B519" s="66">
        <v>2081.0</v>
      </c>
      <c r="C519" s="66">
        <v>1.0</v>
      </c>
      <c r="D519" s="66" t="s">
        <v>204</v>
      </c>
      <c r="E519" s="66">
        <v>0.0</v>
      </c>
      <c r="F519" s="66">
        <v>0.439</v>
      </c>
      <c r="G519" s="66">
        <v>0.226</v>
      </c>
      <c r="H519" s="66" t="s">
        <v>226</v>
      </c>
      <c r="I519" s="81">
        <f t="shared" si="1"/>
        <v>0.9424778761</v>
      </c>
      <c r="J519" s="81">
        <f t="shared" si="2"/>
        <v>0.5148063781</v>
      </c>
    </row>
    <row r="520">
      <c r="A520" s="82">
        <v>44684.0</v>
      </c>
      <c r="B520" s="66">
        <v>2081.0</v>
      </c>
      <c r="C520" s="66">
        <v>1.0</v>
      </c>
      <c r="D520" s="66" t="s">
        <v>204</v>
      </c>
      <c r="E520" s="66">
        <v>1.0</v>
      </c>
      <c r="F520" s="66">
        <v>0.781</v>
      </c>
      <c r="G520" s="66">
        <v>0.402</v>
      </c>
      <c r="H520" s="66" t="s">
        <v>227</v>
      </c>
      <c r="I520" s="81">
        <f t="shared" si="1"/>
        <v>0.9427860697</v>
      </c>
      <c r="J520" s="81">
        <f t="shared" si="2"/>
        <v>0.5147247119</v>
      </c>
    </row>
    <row r="521">
      <c r="A521" s="82">
        <v>44684.0</v>
      </c>
      <c r="B521" s="66">
        <v>2081.0</v>
      </c>
      <c r="C521" s="66">
        <v>2.0</v>
      </c>
      <c r="D521" s="66" t="s">
        <v>205</v>
      </c>
      <c r="E521" s="66">
        <v>0.0</v>
      </c>
      <c r="F521" s="66">
        <v>0.2682</v>
      </c>
      <c r="G521" s="66">
        <v>0.138</v>
      </c>
      <c r="H521" s="66" t="s">
        <v>227</v>
      </c>
      <c r="I521" s="81">
        <f t="shared" si="1"/>
        <v>0.9434782609</v>
      </c>
      <c r="J521" s="81">
        <f t="shared" si="2"/>
        <v>0.514541387</v>
      </c>
    </row>
    <row r="522">
      <c r="A522" s="82">
        <v>44684.0</v>
      </c>
      <c r="B522" s="66">
        <v>2081.0</v>
      </c>
      <c r="C522" s="66">
        <v>2.0</v>
      </c>
      <c r="D522" s="66" t="s">
        <v>204</v>
      </c>
      <c r="E522" s="66">
        <v>0.0</v>
      </c>
      <c r="F522" s="66">
        <v>1.2466</v>
      </c>
      <c r="G522" s="66">
        <v>0.6414</v>
      </c>
      <c r="H522" s="66" t="s">
        <v>230</v>
      </c>
      <c r="I522" s="81">
        <f t="shared" si="1"/>
        <v>0.9435609604</v>
      </c>
      <c r="J522" s="81">
        <f t="shared" si="2"/>
        <v>0.514519493</v>
      </c>
    </row>
    <row r="523">
      <c r="A523" s="82">
        <v>44684.0</v>
      </c>
      <c r="B523" s="66">
        <v>2081.0</v>
      </c>
      <c r="C523" s="66">
        <v>2.0</v>
      </c>
      <c r="D523" s="66" t="s">
        <v>204</v>
      </c>
      <c r="E523" s="66">
        <v>1.0</v>
      </c>
      <c r="F523" s="66">
        <v>0.5814</v>
      </c>
      <c r="G523" s="66">
        <v>0.299</v>
      </c>
      <c r="H523" s="66" t="s">
        <v>227</v>
      </c>
      <c r="I523" s="81">
        <f t="shared" si="1"/>
        <v>0.9444816054</v>
      </c>
      <c r="J523" s="81">
        <f t="shared" si="2"/>
        <v>0.5142758858</v>
      </c>
    </row>
    <row r="524">
      <c r="A524" s="82">
        <v>44684.0</v>
      </c>
      <c r="B524" s="66">
        <v>2081.0</v>
      </c>
      <c r="C524" s="66">
        <v>3.0</v>
      </c>
      <c r="D524" s="66" t="s">
        <v>205</v>
      </c>
      <c r="E524" s="66">
        <v>0.0</v>
      </c>
      <c r="F524" s="66">
        <v>0.7016</v>
      </c>
      <c r="G524" s="66">
        <v>0.3608</v>
      </c>
      <c r="I524" s="81">
        <f t="shared" si="1"/>
        <v>0.9445676275</v>
      </c>
      <c r="J524" s="81">
        <f t="shared" si="2"/>
        <v>0.5142531357</v>
      </c>
    </row>
    <row r="525">
      <c r="A525" s="82">
        <v>44684.0</v>
      </c>
      <c r="B525" s="66">
        <v>2081.0</v>
      </c>
      <c r="C525" s="66">
        <v>3.0</v>
      </c>
      <c r="D525" s="66" t="s">
        <v>204</v>
      </c>
      <c r="E525" s="66">
        <v>0.0</v>
      </c>
      <c r="F525" s="66">
        <v>1.0132</v>
      </c>
      <c r="G525" s="84">
        <v>0.521</v>
      </c>
      <c r="I525" s="81">
        <f t="shared" si="1"/>
        <v>0.9447216891</v>
      </c>
      <c r="J525" s="81">
        <f t="shared" si="2"/>
        <v>0.5142123964</v>
      </c>
    </row>
    <row r="526">
      <c r="A526" s="82">
        <v>44684.0</v>
      </c>
      <c r="B526" s="66">
        <v>2081.0</v>
      </c>
      <c r="C526" s="66">
        <v>3.0</v>
      </c>
      <c r="D526" s="66" t="s">
        <v>204</v>
      </c>
      <c r="E526" s="66">
        <v>1.0</v>
      </c>
      <c r="F526" s="66">
        <v>2.9396</v>
      </c>
      <c r="G526" s="66">
        <v>1.5115</v>
      </c>
      <c r="H526" s="66" t="s">
        <v>230</v>
      </c>
      <c r="I526" s="81">
        <f t="shared" si="1"/>
        <v>0.9448230235</v>
      </c>
      <c r="J526" s="81">
        <f t="shared" si="2"/>
        <v>0.5141856035</v>
      </c>
    </row>
    <row r="527">
      <c r="A527" s="82">
        <v>44684.0</v>
      </c>
      <c r="B527" s="66">
        <v>2343.0</v>
      </c>
      <c r="C527" s="66">
        <v>1.0</v>
      </c>
      <c r="D527" s="66" t="s">
        <v>205</v>
      </c>
      <c r="E527" s="66">
        <v>0.0</v>
      </c>
      <c r="F527" s="66">
        <v>0.4376</v>
      </c>
      <c r="G527" s="66">
        <v>0.225</v>
      </c>
      <c r="H527" s="66" t="s">
        <v>227</v>
      </c>
      <c r="I527" s="81">
        <f t="shared" si="1"/>
        <v>0.9448888889</v>
      </c>
      <c r="J527" s="81">
        <f t="shared" si="2"/>
        <v>0.5141681901</v>
      </c>
    </row>
    <row r="528">
      <c r="A528" s="82">
        <v>44684.0</v>
      </c>
      <c r="B528" s="66">
        <v>2343.0</v>
      </c>
      <c r="C528" s="66">
        <v>1.0</v>
      </c>
      <c r="D528" s="66" t="s">
        <v>204</v>
      </c>
      <c r="E528" s="66">
        <v>0.0</v>
      </c>
      <c r="F528" s="66">
        <v>0.2749</v>
      </c>
      <c r="G528" s="66">
        <v>0.1413</v>
      </c>
      <c r="I528" s="81">
        <f t="shared" si="1"/>
        <v>0.9455060156</v>
      </c>
      <c r="J528" s="81">
        <f t="shared" si="2"/>
        <v>0.5140050928</v>
      </c>
    </row>
    <row r="529">
      <c r="A529" s="82">
        <v>44684.0</v>
      </c>
      <c r="B529" s="66">
        <v>2343.0</v>
      </c>
      <c r="C529" s="66">
        <v>1.0</v>
      </c>
      <c r="D529" s="66" t="s">
        <v>204</v>
      </c>
      <c r="E529" s="66">
        <v>1.0</v>
      </c>
      <c r="F529" s="66">
        <v>2.3777</v>
      </c>
      <c r="G529" s="66">
        <v>1.222</v>
      </c>
      <c r="H529" s="66" t="s">
        <v>227</v>
      </c>
      <c r="I529" s="81">
        <f t="shared" si="1"/>
        <v>0.9457446809</v>
      </c>
      <c r="J529" s="81">
        <f t="shared" si="2"/>
        <v>0.5139420448</v>
      </c>
    </row>
    <row r="530">
      <c r="A530" s="82">
        <v>44684.0</v>
      </c>
      <c r="B530" s="66">
        <v>2343.0</v>
      </c>
      <c r="C530" s="66">
        <v>2.0</v>
      </c>
      <c r="D530" s="66" t="s">
        <v>204</v>
      </c>
      <c r="E530" s="66">
        <v>0.0</v>
      </c>
      <c r="F530" s="66">
        <v>1.6365</v>
      </c>
      <c r="G530" s="66">
        <v>0.841</v>
      </c>
      <c r="H530" s="66" t="s">
        <v>227</v>
      </c>
      <c r="I530" s="81">
        <f t="shared" si="1"/>
        <v>0.9458977408</v>
      </c>
      <c r="J530" s="81">
        <f t="shared" si="2"/>
        <v>0.5139016193</v>
      </c>
    </row>
    <row r="531">
      <c r="A531" s="82">
        <v>44684.0</v>
      </c>
      <c r="B531" s="66">
        <v>2343.0</v>
      </c>
      <c r="C531" s="66">
        <v>2.0</v>
      </c>
      <c r="D531" s="66" t="s">
        <v>204</v>
      </c>
      <c r="E531" s="66">
        <v>1.0</v>
      </c>
      <c r="F531" s="66">
        <v>0.0253</v>
      </c>
      <c r="G531" s="66">
        <v>0.013</v>
      </c>
      <c r="H531" s="66" t="s">
        <v>227</v>
      </c>
      <c r="I531" s="81">
        <f t="shared" si="1"/>
        <v>0.9461538462</v>
      </c>
      <c r="J531" s="81">
        <f t="shared" si="2"/>
        <v>0.5138339921</v>
      </c>
    </row>
    <row r="532">
      <c r="A532" s="82">
        <v>44684.0</v>
      </c>
      <c r="B532" s="66">
        <v>2343.0</v>
      </c>
      <c r="C532" s="66">
        <v>3.0</v>
      </c>
      <c r="D532" s="66" t="s">
        <v>205</v>
      </c>
      <c r="E532" s="66">
        <v>0.0</v>
      </c>
      <c r="F532" s="66">
        <v>0.1616</v>
      </c>
      <c r="G532" s="66">
        <v>0.083</v>
      </c>
      <c r="H532" s="66" t="s">
        <v>227</v>
      </c>
      <c r="I532" s="81">
        <f t="shared" si="1"/>
        <v>0.9469879518</v>
      </c>
      <c r="J532" s="81">
        <f t="shared" si="2"/>
        <v>0.5136138614</v>
      </c>
    </row>
    <row r="533">
      <c r="A533" s="82">
        <v>44684.0</v>
      </c>
      <c r="B533" s="66">
        <v>2343.0</v>
      </c>
      <c r="C533" s="66">
        <v>3.0</v>
      </c>
      <c r="D533" s="66" t="s">
        <v>204</v>
      </c>
      <c r="E533" s="66">
        <v>0.0</v>
      </c>
      <c r="F533" s="66">
        <v>0.1578</v>
      </c>
      <c r="G533" s="66">
        <v>0.081</v>
      </c>
      <c r="I533" s="81">
        <f t="shared" si="1"/>
        <v>0.9481481481</v>
      </c>
      <c r="J533" s="81">
        <f t="shared" si="2"/>
        <v>0.5133079848</v>
      </c>
    </row>
    <row r="534">
      <c r="A534" s="82">
        <v>44684.0</v>
      </c>
      <c r="B534" s="66">
        <v>2343.0</v>
      </c>
      <c r="C534" s="66">
        <v>3.0</v>
      </c>
      <c r="D534" s="66" t="s">
        <v>204</v>
      </c>
      <c r="E534" s="66">
        <v>1.0</v>
      </c>
      <c r="F534" s="66">
        <v>0.4489</v>
      </c>
      <c r="G534" s="66">
        <v>0.2304</v>
      </c>
      <c r="H534" s="66" t="s">
        <v>230</v>
      </c>
      <c r="I534" s="81">
        <f t="shared" si="1"/>
        <v>0.9483506944</v>
      </c>
      <c r="J534" s="81">
        <f t="shared" si="2"/>
        <v>0.5132546224</v>
      </c>
    </row>
    <row r="535">
      <c r="A535" s="82">
        <v>44684.0</v>
      </c>
      <c r="B535" s="66">
        <v>2346.0</v>
      </c>
      <c r="C535" s="66">
        <v>1.0</v>
      </c>
      <c r="D535" s="66" t="s">
        <v>205</v>
      </c>
      <c r="E535" s="66">
        <v>0.0</v>
      </c>
      <c r="F535" s="66">
        <v>0.2943</v>
      </c>
      <c r="G535" s="66">
        <v>0.151</v>
      </c>
      <c r="I535" s="81">
        <f t="shared" si="1"/>
        <v>0.9490066225</v>
      </c>
      <c r="J535" s="81">
        <f t="shared" si="2"/>
        <v>0.5130818892</v>
      </c>
    </row>
    <row r="536">
      <c r="A536" s="82">
        <v>44684.0</v>
      </c>
      <c r="B536" s="66">
        <v>2346.0</v>
      </c>
      <c r="C536" s="66">
        <v>1.0</v>
      </c>
      <c r="D536" s="66" t="s">
        <v>205</v>
      </c>
      <c r="E536" s="66">
        <v>0.0</v>
      </c>
      <c r="F536" s="66">
        <v>0.5633</v>
      </c>
      <c r="G536" s="66">
        <v>0.289</v>
      </c>
      <c r="H536" s="66" t="s">
        <v>227</v>
      </c>
      <c r="I536" s="81">
        <f t="shared" si="1"/>
        <v>0.9491349481</v>
      </c>
      <c r="J536" s="81">
        <f t="shared" si="2"/>
        <v>0.5130481094</v>
      </c>
    </row>
    <row r="537">
      <c r="A537" s="82">
        <v>44684.0</v>
      </c>
      <c r="B537" s="66">
        <v>2346.0</v>
      </c>
      <c r="C537" s="66">
        <v>1.0</v>
      </c>
      <c r="D537" s="66" t="s">
        <v>204</v>
      </c>
      <c r="E537" s="66">
        <v>0.0</v>
      </c>
      <c r="F537" s="66">
        <v>0.1419</v>
      </c>
      <c r="G537" s="66">
        <v>0.0728</v>
      </c>
      <c r="I537" s="81">
        <f t="shared" si="1"/>
        <v>0.9491758242</v>
      </c>
      <c r="J537" s="81">
        <f t="shared" si="2"/>
        <v>0.5130373502</v>
      </c>
    </row>
    <row r="538">
      <c r="A538" s="82">
        <v>44684.0</v>
      </c>
      <c r="B538" s="66">
        <v>2346.0</v>
      </c>
      <c r="C538" s="66">
        <v>1.0</v>
      </c>
      <c r="D538" s="66" t="s">
        <v>204</v>
      </c>
      <c r="E538" s="66">
        <v>1.0</v>
      </c>
      <c r="F538" s="66">
        <v>0.7998</v>
      </c>
      <c r="G538" s="66">
        <v>0.4103</v>
      </c>
      <c r="I538" s="81">
        <f t="shared" si="1"/>
        <v>0.9493053863</v>
      </c>
      <c r="J538" s="81">
        <f t="shared" si="2"/>
        <v>0.5130032508</v>
      </c>
    </row>
    <row r="539">
      <c r="A539" s="82">
        <v>44684.0</v>
      </c>
      <c r="B539" s="66">
        <v>2346.0</v>
      </c>
      <c r="C539" s="66">
        <v>2.0</v>
      </c>
      <c r="D539" s="66" t="s">
        <v>205</v>
      </c>
      <c r="E539" s="66">
        <v>0.0</v>
      </c>
      <c r="F539" s="66">
        <v>1.7985</v>
      </c>
      <c r="G539" s="66">
        <v>0.9225</v>
      </c>
      <c r="H539" s="66" t="s">
        <v>230</v>
      </c>
      <c r="I539" s="81">
        <f t="shared" si="1"/>
        <v>0.9495934959</v>
      </c>
      <c r="J539" s="81">
        <f t="shared" si="2"/>
        <v>0.5129274395</v>
      </c>
    </row>
    <row r="540">
      <c r="A540" s="82">
        <v>44684.0</v>
      </c>
      <c r="B540" s="66">
        <v>2346.0</v>
      </c>
      <c r="C540" s="66">
        <v>2.0</v>
      </c>
      <c r="D540" s="66" t="s">
        <v>204</v>
      </c>
      <c r="E540" s="66">
        <v>0.0</v>
      </c>
      <c r="F540" s="66">
        <v>1.0939</v>
      </c>
      <c r="G540" s="66">
        <v>0.561</v>
      </c>
      <c r="I540" s="81">
        <f t="shared" si="1"/>
        <v>0.9499108734</v>
      </c>
      <c r="J540" s="81">
        <f t="shared" si="2"/>
        <v>0.5128439528</v>
      </c>
    </row>
    <row r="541">
      <c r="A541" s="82">
        <v>44684.0</v>
      </c>
      <c r="B541" s="66">
        <v>2346.0</v>
      </c>
      <c r="C541" s="66">
        <v>2.0</v>
      </c>
      <c r="D541" s="66" t="s">
        <v>204</v>
      </c>
      <c r="E541" s="66">
        <v>1.0</v>
      </c>
      <c r="F541" s="66">
        <v>0.7977</v>
      </c>
      <c r="G541" s="66">
        <v>0.409</v>
      </c>
      <c r="H541" s="66" t="s">
        <v>227</v>
      </c>
      <c r="I541" s="81">
        <f t="shared" si="1"/>
        <v>0.9503667482</v>
      </c>
      <c r="J541" s="81">
        <f t="shared" si="2"/>
        <v>0.5127240817</v>
      </c>
    </row>
    <row r="542">
      <c r="A542" s="82">
        <v>44684.0</v>
      </c>
      <c r="B542" s="66">
        <v>2346.0</v>
      </c>
      <c r="C542" s="66">
        <v>3.0</v>
      </c>
      <c r="D542" s="66" t="s">
        <v>204</v>
      </c>
      <c r="E542" s="66">
        <v>0.0</v>
      </c>
      <c r="F542" s="66">
        <v>0.7164</v>
      </c>
      <c r="G542" s="66">
        <v>0.367</v>
      </c>
      <c r="I542" s="81">
        <f t="shared" si="1"/>
        <v>0.9520435967</v>
      </c>
      <c r="J542" s="81">
        <f t="shared" si="2"/>
        <v>0.5122836404</v>
      </c>
    </row>
    <row r="543">
      <c r="A543" s="82">
        <v>44684.0</v>
      </c>
      <c r="B543" s="66">
        <v>2346.0</v>
      </c>
      <c r="C543" s="66">
        <v>3.0</v>
      </c>
      <c r="D543" s="66" t="s">
        <v>204</v>
      </c>
      <c r="E543" s="66">
        <v>1.0</v>
      </c>
      <c r="F543" s="66">
        <v>0.1507</v>
      </c>
      <c r="G543" s="66">
        <v>0.0772</v>
      </c>
      <c r="H543" s="66" t="s">
        <v>227</v>
      </c>
      <c r="I543" s="81">
        <f t="shared" si="1"/>
        <v>0.9520725389</v>
      </c>
      <c r="J543" s="81">
        <f t="shared" si="2"/>
        <v>0.5122760451</v>
      </c>
    </row>
    <row r="544">
      <c r="A544" s="82">
        <v>44684.0</v>
      </c>
      <c r="B544" s="66">
        <v>2347.0</v>
      </c>
      <c r="C544" s="66">
        <v>1.0</v>
      </c>
      <c r="D544" s="66" t="s">
        <v>205</v>
      </c>
      <c r="E544" s="66">
        <v>0.0</v>
      </c>
      <c r="F544" s="66">
        <v>2.0829</v>
      </c>
      <c r="G544" s="66">
        <v>1.067</v>
      </c>
      <c r="I544" s="81">
        <f t="shared" si="1"/>
        <v>0.952108716</v>
      </c>
      <c r="J544" s="81">
        <f t="shared" si="2"/>
        <v>0.5122665514</v>
      </c>
    </row>
    <row r="545">
      <c r="A545" s="82">
        <v>44684.0</v>
      </c>
      <c r="B545" s="66">
        <v>2347.0</v>
      </c>
      <c r="C545" s="66">
        <v>1.0</v>
      </c>
      <c r="D545" s="66" t="s">
        <v>204</v>
      </c>
      <c r="E545" s="66">
        <v>0.0</v>
      </c>
      <c r="F545" s="66">
        <v>1.4753</v>
      </c>
      <c r="G545" s="66">
        <v>0.7557</v>
      </c>
      <c r="I545" s="81">
        <f t="shared" si="1"/>
        <v>0.9522297208</v>
      </c>
      <c r="J545" s="81">
        <f t="shared" si="2"/>
        <v>0.5122347997</v>
      </c>
    </row>
    <row r="546">
      <c r="A546" s="82">
        <v>44684.0</v>
      </c>
      <c r="B546" s="66">
        <v>2347.0</v>
      </c>
      <c r="C546" s="66">
        <v>1.0</v>
      </c>
      <c r="D546" s="66" t="s">
        <v>204</v>
      </c>
      <c r="E546" s="66">
        <v>1.0</v>
      </c>
      <c r="F546" s="66">
        <v>0.1074</v>
      </c>
      <c r="G546" s="66">
        <v>0.055</v>
      </c>
      <c r="H546" s="66" t="s">
        <v>226</v>
      </c>
      <c r="I546" s="81">
        <f t="shared" si="1"/>
        <v>0.9527272727</v>
      </c>
      <c r="J546" s="81">
        <f t="shared" si="2"/>
        <v>0.5121042831</v>
      </c>
    </row>
    <row r="547">
      <c r="A547" s="82">
        <v>44684.0</v>
      </c>
      <c r="B547" s="66">
        <v>2347.0</v>
      </c>
      <c r="C547" s="66">
        <v>2.0</v>
      </c>
      <c r="D547" s="66" t="s">
        <v>205</v>
      </c>
      <c r="E547" s="66">
        <v>0.0</v>
      </c>
      <c r="F547" s="66">
        <v>0.24</v>
      </c>
      <c r="G547" s="66">
        <v>0.1229</v>
      </c>
      <c r="H547" s="66" t="s">
        <v>230</v>
      </c>
      <c r="I547" s="81">
        <f t="shared" si="1"/>
        <v>0.9528071603</v>
      </c>
      <c r="J547" s="81">
        <f t="shared" si="2"/>
        <v>0.5120833333</v>
      </c>
    </row>
    <row r="548">
      <c r="A548" s="82">
        <v>44684.0</v>
      </c>
      <c r="B548" s="66">
        <v>2347.0</v>
      </c>
      <c r="C548" s="66">
        <v>2.0</v>
      </c>
      <c r="D548" s="66" t="s">
        <v>204</v>
      </c>
      <c r="E548" s="66">
        <v>0.0</v>
      </c>
      <c r="F548" s="66">
        <v>0.184</v>
      </c>
      <c r="G548" s="66">
        <v>0.0942</v>
      </c>
      <c r="I548" s="81">
        <f t="shared" si="1"/>
        <v>0.9532908705</v>
      </c>
      <c r="J548" s="81">
        <f t="shared" si="2"/>
        <v>0.5119565217</v>
      </c>
    </row>
    <row r="549">
      <c r="A549" s="82">
        <v>44684.0</v>
      </c>
      <c r="B549" s="66">
        <v>2347.0</v>
      </c>
      <c r="C549" s="66">
        <v>2.0</v>
      </c>
      <c r="D549" s="66" t="s">
        <v>204</v>
      </c>
      <c r="E549" s="66">
        <v>1.0</v>
      </c>
      <c r="F549" s="66">
        <v>0.0508</v>
      </c>
      <c r="G549" s="66">
        <v>0.026</v>
      </c>
      <c r="I549" s="81">
        <f t="shared" si="1"/>
        <v>0.9538461538</v>
      </c>
      <c r="J549" s="81">
        <f t="shared" si="2"/>
        <v>0.5118110236</v>
      </c>
    </row>
    <row r="550">
      <c r="A550" s="82">
        <v>44684.0</v>
      </c>
      <c r="B550" s="66">
        <v>2347.0</v>
      </c>
      <c r="C550" s="66">
        <v>3.0</v>
      </c>
      <c r="D550" s="66" t="s">
        <v>205</v>
      </c>
      <c r="E550" s="66">
        <v>0.0</v>
      </c>
      <c r="F550" s="66">
        <v>0.5062</v>
      </c>
      <c r="G550" s="66">
        <v>0.259</v>
      </c>
      <c r="I550" s="81">
        <f t="shared" si="1"/>
        <v>0.9544401544</v>
      </c>
      <c r="J550" s="81">
        <f t="shared" si="2"/>
        <v>0.5116554721</v>
      </c>
    </row>
    <row r="551">
      <c r="A551" s="82">
        <v>44684.0</v>
      </c>
      <c r="B551" s="66">
        <v>2347.0</v>
      </c>
      <c r="C551" s="66">
        <v>3.0</v>
      </c>
      <c r="D551" s="66" t="s">
        <v>204</v>
      </c>
      <c r="E551" s="66">
        <v>0.0</v>
      </c>
      <c r="F551" s="66">
        <v>0.0782</v>
      </c>
      <c r="G551" s="66">
        <v>0.04</v>
      </c>
      <c r="I551" s="81">
        <f t="shared" si="1"/>
        <v>0.955</v>
      </c>
      <c r="J551" s="81">
        <f t="shared" si="2"/>
        <v>0.5115089514</v>
      </c>
    </row>
    <row r="552">
      <c r="A552" s="82">
        <v>44684.0</v>
      </c>
      <c r="B552" s="66">
        <v>2347.0</v>
      </c>
      <c r="C552" s="66">
        <v>3.0</v>
      </c>
      <c r="D552" s="66" t="s">
        <v>204</v>
      </c>
      <c r="E552" s="66">
        <v>1.0</v>
      </c>
      <c r="F552" s="66">
        <v>0.1545</v>
      </c>
      <c r="G552" s="66">
        <v>0.079</v>
      </c>
      <c r="H552" s="66" t="s">
        <v>227</v>
      </c>
      <c r="I552" s="81">
        <f t="shared" si="1"/>
        <v>0.9556962025</v>
      </c>
      <c r="J552" s="81">
        <f t="shared" si="2"/>
        <v>0.5113268608</v>
      </c>
    </row>
    <row r="553">
      <c r="A553" s="82">
        <v>44684.0</v>
      </c>
      <c r="B553" s="66">
        <v>2364.0</v>
      </c>
      <c r="C553" s="66">
        <v>1.0</v>
      </c>
      <c r="D553" s="66" t="s">
        <v>205</v>
      </c>
      <c r="E553" s="66">
        <v>0.0</v>
      </c>
      <c r="F553" s="66">
        <v>0.135</v>
      </c>
      <c r="G553" s="66">
        <v>0.069</v>
      </c>
      <c r="H553" s="66" t="s">
        <v>227</v>
      </c>
      <c r="I553" s="81">
        <f t="shared" si="1"/>
        <v>0.9565217391</v>
      </c>
      <c r="J553" s="81">
        <f t="shared" si="2"/>
        <v>0.5111111111</v>
      </c>
    </row>
    <row r="554">
      <c r="A554" s="82">
        <v>44684.0</v>
      </c>
      <c r="B554" s="66">
        <v>2364.0</v>
      </c>
      <c r="C554" s="66">
        <v>1.0</v>
      </c>
      <c r="D554" s="66" t="s">
        <v>204</v>
      </c>
      <c r="E554" s="66">
        <v>0.0</v>
      </c>
      <c r="F554" s="66">
        <v>0.2839</v>
      </c>
      <c r="G554" s="66">
        <v>0.1451</v>
      </c>
      <c r="I554" s="81">
        <f t="shared" si="1"/>
        <v>0.9565816678</v>
      </c>
      <c r="J554" s="81">
        <f t="shared" si="2"/>
        <v>0.5110954561</v>
      </c>
    </row>
    <row r="555">
      <c r="A555" s="82">
        <v>44684.0</v>
      </c>
      <c r="B555" s="66">
        <v>2364.0</v>
      </c>
      <c r="C555" s="66">
        <v>1.0</v>
      </c>
      <c r="D555" s="66" t="s">
        <v>204</v>
      </c>
      <c r="E555" s="66">
        <v>1.0</v>
      </c>
      <c r="F555" s="66">
        <v>0.9726</v>
      </c>
      <c r="G555" s="66">
        <v>0.497</v>
      </c>
      <c r="I555" s="81">
        <f t="shared" si="1"/>
        <v>0.9569416499</v>
      </c>
      <c r="J555" s="81">
        <f t="shared" si="2"/>
        <v>0.5110014394</v>
      </c>
    </row>
    <row r="556">
      <c r="A556" s="82">
        <v>44684.0</v>
      </c>
      <c r="B556" s="66">
        <v>2364.0</v>
      </c>
      <c r="C556" s="66">
        <v>2.0</v>
      </c>
      <c r="D556" s="66" t="s">
        <v>204</v>
      </c>
      <c r="E556" s="66">
        <v>0.0</v>
      </c>
      <c r="F556" s="66">
        <v>0.093</v>
      </c>
      <c r="G556" s="66">
        <v>0.0475</v>
      </c>
      <c r="H556" s="66" t="s">
        <v>230</v>
      </c>
      <c r="I556" s="81">
        <f t="shared" si="1"/>
        <v>0.9578947368</v>
      </c>
      <c r="J556" s="81">
        <f t="shared" si="2"/>
        <v>0.5107526882</v>
      </c>
    </row>
    <row r="557">
      <c r="A557" s="82">
        <v>44684.0</v>
      </c>
      <c r="B557" s="66">
        <v>2364.0</v>
      </c>
      <c r="C557" s="66">
        <v>2.0</v>
      </c>
      <c r="D557" s="66" t="s">
        <v>204</v>
      </c>
      <c r="E557" s="66">
        <v>1.0</v>
      </c>
      <c r="F557" s="66">
        <v>0.3172</v>
      </c>
      <c r="G557" s="66">
        <v>0.162</v>
      </c>
      <c r="H557" s="66" t="s">
        <v>227</v>
      </c>
      <c r="I557" s="81">
        <f t="shared" si="1"/>
        <v>0.9580246914</v>
      </c>
      <c r="J557" s="81">
        <f t="shared" si="2"/>
        <v>0.5107187894</v>
      </c>
    </row>
    <row r="558">
      <c r="A558" s="82">
        <v>44684.0</v>
      </c>
      <c r="B558" s="66">
        <v>2364.0</v>
      </c>
      <c r="C558" s="66">
        <v>3.0</v>
      </c>
      <c r="D558" s="66" t="s">
        <v>205</v>
      </c>
      <c r="E558" s="66">
        <v>0.0</v>
      </c>
      <c r="F558" s="66">
        <v>0.6646</v>
      </c>
      <c r="G558" s="66">
        <v>0.3394</v>
      </c>
      <c r="I558" s="81">
        <f t="shared" si="1"/>
        <v>0.9581614614</v>
      </c>
      <c r="J558" s="81">
        <f t="shared" si="2"/>
        <v>0.5106831177</v>
      </c>
    </row>
    <row r="559">
      <c r="A559" s="82">
        <v>44684.0</v>
      </c>
      <c r="B559" s="66">
        <v>2364.0</v>
      </c>
      <c r="C559" s="66">
        <v>3.0</v>
      </c>
      <c r="D559" s="66" t="s">
        <v>204</v>
      </c>
      <c r="E559" s="66">
        <v>0.0</v>
      </c>
      <c r="F559" s="66">
        <v>1.8388</v>
      </c>
      <c r="G559" s="66">
        <v>0.9389</v>
      </c>
      <c r="H559" s="66" t="s">
        <v>230</v>
      </c>
      <c r="I559" s="81">
        <f t="shared" si="1"/>
        <v>0.95846203</v>
      </c>
      <c r="J559" s="81">
        <f t="shared" si="2"/>
        <v>0.5106047422</v>
      </c>
    </row>
    <row r="560">
      <c r="A560" s="82">
        <v>44684.0</v>
      </c>
      <c r="B560" s="66">
        <v>2364.0</v>
      </c>
      <c r="C560" s="66">
        <v>3.0</v>
      </c>
      <c r="D560" s="66" t="s">
        <v>204</v>
      </c>
      <c r="E560" s="66">
        <v>1.0</v>
      </c>
      <c r="F560" s="66">
        <v>1.3416</v>
      </c>
      <c r="G560" s="66">
        <v>0.6849</v>
      </c>
      <c r="I560" s="81">
        <f t="shared" si="1"/>
        <v>0.958826106</v>
      </c>
      <c r="J560" s="81">
        <f t="shared" si="2"/>
        <v>0.510509839</v>
      </c>
    </row>
    <row r="561">
      <c r="A561" s="82">
        <v>44684.0</v>
      </c>
      <c r="B561" s="66">
        <v>2365.0</v>
      </c>
      <c r="C561" s="66">
        <v>1.0</v>
      </c>
      <c r="D561" s="66" t="s">
        <v>204</v>
      </c>
      <c r="E561" s="66">
        <v>0.0</v>
      </c>
      <c r="F561" s="66">
        <v>0.373</v>
      </c>
      <c r="G561" s="66">
        <v>0.1904</v>
      </c>
      <c r="I561" s="81">
        <f t="shared" si="1"/>
        <v>0.9590336134</v>
      </c>
      <c r="J561" s="81">
        <f t="shared" si="2"/>
        <v>0.5104557641</v>
      </c>
    </row>
    <row r="562">
      <c r="A562" s="82">
        <v>44684.0</v>
      </c>
      <c r="B562" s="66">
        <v>2365.0</v>
      </c>
      <c r="C562" s="66">
        <v>1.0</v>
      </c>
      <c r="D562" s="66" t="s">
        <v>204</v>
      </c>
      <c r="E562" s="66">
        <v>1.0</v>
      </c>
      <c r="F562" s="66">
        <v>0.194</v>
      </c>
      <c r="G562" s="66">
        <v>0.099</v>
      </c>
      <c r="H562" s="66" t="s">
        <v>229</v>
      </c>
      <c r="I562" s="81">
        <f t="shared" si="1"/>
        <v>0.9595959596</v>
      </c>
      <c r="J562" s="81">
        <f t="shared" si="2"/>
        <v>0.5103092784</v>
      </c>
    </row>
    <row r="563">
      <c r="A563" s="82">
        <v>44684.0</v>
      </c>
      <c r="B563" s="66">
        <v>2365.0</v>
      </c>
      <c r="C563" s="66">
        <v>2.0</v>
      </c>
      <c r="D563" s="66" t="s">
        <v>205</v>
      </c>
      <c r="E563" s="66">
        <v>0.0</v>
      </c>
      <c r="F563" s="66">
        <v>0.5437</v>
      </c>
      <c r="G563" s="66">
        <v>0.2774</v>
      </c>
      <c r="I563" s="81">
        <f t="shared" si="1"/>
        <v>0.9599855804</v>
      </c>
      <c r="J563" s="81">
        <f t="shared" si="2"/>
        <v>0.5102078352</v>
      </c>
    </row>
    <row r="564">
      <c r="A564" s="82">
        <v>44684.0</v>
      </c>
      <c r="B564" s="66">
        <v>2365.0</v>
      </c>
      <c r="C564" s="66">
        <v>2.0</v>
      </c>
      <c r="D564" s="66" t="s">
        <v>204</v>
      </c>
      <c r="E564" s="66">
        <v>0.0</v>
      </c>
      <c r="F564" s="66">
        <v>0.2066</v>
      </c>
      <c r="G564" s="66">
        <v>0.1054</v>
      </c>
      <c r="H564" s="66" t="s">
        <v>226</v>
      </c>
      <c r="I564" s="81">
        <f t="shared" si="1"/>
        <v>0.9601518027</v>
      </c>
      <c r="J564" s="81">
        <f t="shared" si="2"/>
        <v>0.5101645692</v>
      </c>
    </row>
    <row r="565">
      <c r="A565" s="82">
        <v>44684.0</v>
      </c>
      <c r="B565" s="66">
        <v>2365.0</v>
      </c>
      <c r="C565" s="66">
        <v>2.0</v>
      </c>
      <c r="D565" s="66" t="s">
        <v>204</v>
      </c>
      <c r="E565" s="66">
        <v>1.0</v>
      </c>
      <c r="F565" s="66">
        <v>1.1891</v>
      </c>
      <c r="G565" s="66">
        <v>0.6065</v>
      </c>
      <c r="H565" s="66" t="s">
        <v>226</v>
      </c>
      <c r="I565" s="81">
        <f t="shared" si="1"/>
        <v>0.9605935697</v>
      </c>
      <c r="J565" s="81">
        <f t="shared" si="2"/>
        <v>0.5100496174</v>
      </c>
    </row>
    <row r="566">
      <c r="A566" s="82">
        <v>44684.0</v>
      </c>
      <c r="B566" s="66">
        <v>2365.0</v>
      </c>
      <c r="C566" s="66">
        <v>3.0</v>
      </c>
      <c r="D566" s="66" t="s">
        <v>205</v>
      </c>
      <c r="E566" s="66">
        <v>0.0</v>
      </c>
      <c r="F566" s="66">
        <v>1.7257</v>
      </c>
      <c r="G566" s="66">
        <v>0.88</v>
      </c>
      <c r="I566" s="81">
        <f t="shared" si="1"/>
        <v>0.9610227273</v>
      </c>
      <c r="J566" s="81">
        <f t="shared" si="2"/>
        <v>0.5099379962</v>
      </c>
    </row>
    <row r="567">
      <c r="A567" s="82">
        <v>44684.0</v>
      </c>
      <c r="B567" s="66">
        <v>2365.0</v>
      </c>
      <c r="C567" s="66">
        <v>3.0</v>
      </c>
      <c r="D567" s="66" t="s">
        <v>204</v>
      </c>
      <c r="E567" s="66">
        <v>0.0</v>
      </c>
      <c r="F567" s="66">
        <v>0.9598</v>
      </c>
      <c r="G567" s="66">
        <v>0.4893</v>
      </c>
      <c r="I567" s="81">
        <f t="shared" si="1"/>
        <v>0.9615777642</v>
      </c>
      <c r="J567" s="81">
        <f t="shared" si="2"/>
        <v>0.509793707</v>
      </c>
    </row>
    <row r="568">
      <c r="A568" s="82">
        <v>44684.0</v>
      </c>
      <c r="B568" s="66">
        <v>2365.0</v>
      </c>
      <c r="C568" s="66">
        <v>3.0</v>
      </c>
      <c r="D568" s="66" t="s">
        <v>204</v>
      </c>
      <c r="E568" s="66">
        <v>1.0</v>
      </c>
      <c r="F568" s="66">
        <v>0.0412</v>
      </c>
      <c r="G568" s="66">
        <v>0.021</v>
      </c>
      <c r="H568" s="66" t="s">
        <v>227</v>
      </c>
      <c r="I568" s="81">
        <f t="shared" si="1"/>
        <v>0.9619047619</v>
      </c>
      <c r="J568" s="81">
        <f t="shared" si="2"/>
        <v>0.5097087379</v>
      </c>
    </row>
    <row r="569">
      <c r="A569" s="82">
        <v>44684.0</v>
      </c>
      <c r="B569" s="66">
        <v>2367.0</v>
      </c>
      <c r="C569" s="66">
        <v>1.0</v>
      </c>
      <c r="D569" s="66" t="s">
        <v>205</v>
      </c>
      <c r="E569" s="66">
        <v>0.0</v>
      </c>
      <c r="F569" s="66">
        <v>0.291</v>
      </c>
      <c r="G569" s="66">
        <v>0.1483</v>
      </c>
      <c r="H569" s="66" t="s">
        <v>226</v>
      </c>
      <c r="I569" s="81">
        <f t="shared" si="1"/>
        <v>0.9622387053</v>
      </c>
      <c r="J569" s="81">
        <f t="shared" si="2"/>
        <v>0.5096219931</v>
      </c>
    </row>
    <row r="570">
      <c r="A570" s="82">
        <v>44684.0</v>
      </c>
      <c r="B570" s="66">
        <v>2367.0</v>
      </c>
      <c r="C570" s="66">
        <v>1.0</v>
      </c>
      <c r="D570" s="66" t="s">
        <v>204</v>
      </c>
      <c r="E570" s="66">
        <v>0.0</v>
      </c>
      <c r="F570" s="66">
        <v>0.2761</v>
      </c>
      <c r="G570" s="66">
        <v>0.1407</v>
      </c>
      <c r="H570" s="66" t="s">
        <v>230</v>
      </c>
      <c r="I570" s="81">
        <f t="shared" si="1"/>
        <v>0.9623312011</v>
      </c>
      <c r="J570" s="81">
        <f t="shared" si="2"/>
        <v>0.5095979717</v>
      </c>
    </row>
    <row r="571">
      <c r="A571" s="82">
        <v>44684.0</v>
      </c>
      <c r="B571" s="66">
        <v>2367.0</v>
      </c>
      <c r="C571" s="66">
        <v>1.0</v>
      </c>
      <c r="D571" s="66" t="s">
        <v>204</v>
      </c>
      <c r="E571" s="66">
        <v>1.0</v>
      </c>
      <c r="F571" s="66">
        <v>0.2814</v>
      </c>
      <c r="G571" s="66">
        <v>0.1434</v>
      </c>
      <c r="H571" s="66" t="s">
        <v>230</v>
      </c>
      <c r="I571" s="81">
        <f t="shared" si="1"/>
        <v>0.9623430962</v>
      </c>
      <c r="J571" s="81">
        <f t="shared" si="2"/>
        <v>0.5095948827</v>
      </c>
    </row>
    <row r="572">
      <c r="A572" s="82">
        <v>44684.0</v>
      </c>
      <c r="B572" s="66">
        <v>2367.0</v>
      </c>
      <c r="C572" s="66">
        <v>2.0</v>
      </c>
      <c r="D572" s="66" t="s">
        <v>205</v>
      </c>
      <c r="E572" s="66">
        <v>0.0</v>
      </c>
      <c r="F572" s="66">
        <v>0.3195</v>
      </c>
      <c r="G572" s="66">
        <v>0.1628</v>
      </c>
      <c r="I572" s="81">
        <f t="shared" si="1"/>
        <v>0.9625307125</v>
      </c>
      <c r="J572" s="81">
        <f t="shared" si="2"/>
        <v>0.5095461659</v>
      </c>
    </row>
    <row r="573">
      <c r="A573" s="82">
        <v>44684.0</v>
      </c>
      <c r="B573" s="66">
        <v>2367.0</v>
      </c>
      <c r="C573" s="66">
        <v>2.0</v>
      </c>
      <c r="D573" s="66" t="s">
        <v>204</v>
      </c>
      <c r="E573" s="66">
        <v>0.0</v>
      </c>
      <c r="F573" s="66">
        <v>0.5038</v>
      </c>
      <c r="G573" s="66">
        <v>0.2566</v>
      </c>
      <c r="H573" s="66" t="s">
        <v>226</v>
      </c>
      <c r="I573" s="81">
        <f t="shared" si="1"/>
        <v>0.9633671083</v>
      </c>
      <c r="J573" s="81">
        <f t="shared" si="2"/>
        <v>0.5093290988</v>
      </c>
    </row>
    <row r="574">
      <c r="A574" s="82">
        <v>44684.0</v>
      </c>
      <c r="B574" s="66">
        <v>2367.0</v>
      </c>
      <c r="C574" s="66">
        <v>2.0</v>
      </c>
      <c r="D574" s="66" t="s">
        <v>204</v>
      </c>
      <c r="E574" s="66">
        <v>1.0</v>
      </c>
      <c r="F574" s="66">
        <v>1.5927</v>
      </c>
      <c r="G574" s="66">
        <v>0.811</v>
      </c>
      <c r="H574" s="66" t="s">
        <v>227</v>
      </c>
      <c r="I574" s="81">
        <f t="shared" si="1"/>
        <v>0.9638717633</v>
      </c>
      <c r="J574" s="81">
        <f t="shared" si="2"/>
        <v>0.5091982169</v>
      </c>
    </row>
    <row r="575">
      <c r="A575" s="82">
        <v>44684.0</v>
      </c>
      <c r="B575" s="66">
        <v>2367.0</v>
      </c>
      <c r="C575" s="66">
        <v>3.0</v>
      </c>
      <c r="D575" s="66" t="s">
        <v>205</v>
      </c>
      <c r="E575" s="66">
        <v>0.0</v>
      </c>
      <c r="F575" s="66">
        <v>0.1257</v>
      </c>
      <c r="G575" s="66">
        <v>0.064</v>
      </c>
      <c r="I575" s="81">
        <f t="shared" si="1"/>
        <v>0.9640625</v>
      </c>
      <c r="J575" s="81">
        <f t="shared" si="2"/>
        <v>0.5091487669</v>
      </c>
    </row>
    <row r="576">
      <c r="A576" s="82">
        <v>44684.0</v>
      </c>
      <c r="B576" s="66">
        <v>2367.0</v>
      </c>
      <c r="C576" s="66">
        <v>3.0</v>
      </c>
      <c r="D576" s="66" t="s">
        <v>204</v>
      </c>
      <c r="E576" s="66">
        <v>0.0</v>
      </c>
      <c r="F576" s="66">
        <v>0.1485</v>
      </c>
      <c r="G576" s="66">
        <v>0.0756</v>
      </c>
      <c r="I576" s="81">
        <f t="shared" si="1"/>
        <v>0.9642857143</v>
      </c>
      <c r="J576" s="81">
        <f t="shared" si="2"/>
        <v>0.5090909091</v>
      </c>
    </row>
    <row r="577">
      <c r="A577" s="82">
        <v>44684.0</v>
      </c>
      <c r="B577" s="66">
        <v>2367.0</v>
      </c>
      <c r="C577" s="66">
        <v>3.0</v>
      </c>
      <c r="D577" s="66" t="s">
        <v>204</v>
      </c>
      <c r="E577" s="66">
        <v>1.0</v>
      </c>
      <c r="F577" s="66">
        <v>0.055</v>
      </c>
      <c r="G577" s="66">
        <v>0.028</v>
      </c>
      <c r="H577" s="66" t="s">
        <v>227</v>
      </c>
      <c r="I577" s="81">
        <f t="shared" si="1"/>
        <v>0.9642857143</v>
      </c>
      <c r="J577" s="81">
        <f t="shared" si="2"/>
        <v>0.5090909091</v>
      </c>
    </row>
    <row r="578">
      <c r="A578" s="82">
        <v>44684.0</v>
      </c>
      <c r="B578" s="66">
        <v>2369.0</v>
      </c>
      <c r="C578" s="66">
        <v>1.0</v>
      </c>
      <c r="D578" s="66" t="s">
        <v>205</v>
      </c>
      <c r="E578" s="66">
        <v>0.0</v>
      </c>
      <c r="F578" s="66">
        <v>0.7445</v>
      </c>
      <c r="G578" s="66">
        <v>0.379</v>
      </c>
      <c r="H578" s="66" t="s">
        <v>227</v>
      </c>
      <c r="I578" s="81">
        <f t="shared" si="1"/>
        <v>0.9643799472</v>
      </c>
      <c r="J578" s="81">
        <f t="shared" si="2"/>
        <v>0.5090664876</v>
      </c>
    </row>
    <row r="579">
      <c r="A579" s="82">
        <v>44684.0</v>
      </c>
      <c r="B579" s="66">
        <v>2369.0</v>
      </c>
      <c r="C579" s="66">
        <v>1.0</v>
      </c>
      <c r="D579" s="66" t="s">
        <v>204</v>
      </c>
      <c r="E579" s="66">
        <v>0.0</v>
      </c>
      <c r="F579" s="66">
        <v>1.1885</v>
      </c>
      <c r="G579" s="66">
        <v>0.605</v>
      </c>
      <c r="H579" s="66" t="s">
        <v>226</v>
      </c>
      <c r="I579" s="81">
        <f t="shared" si="1"/>
        <v>0.9644628099</v>
      </c>
      <c r="J579" s="81">
        <f t="shared" si="2"/>
        <v>0.5090450147</v>
      </c>
    </row>
    <row r="580">
      <c r="A580" s="82">
        <v>44684.0</v>
      </c>
      <c r="B580" s="66">
        <v>2369.0</v>
      </c>
      <c r="C580" s="66">
        <v>1.0</v>
      </c>
      <c r="D580" s="66" t="s">
        <v>204</v>
      </c>
      <c r="E580" s="66">
        <v>1.0</v>
      </c>
      <c r="F580" s="66">
        <v>0.2221</v>
      </c>
      <c r="G580" s="66">
        <v>0.113</v>
      </c>
      <c r="H580" s="66" t="s">
        <v>230</v>
      </c>
      <c r="I580" s="81">
        <f t="shared" si="1"/>
        <v>0.9654867257</v>
      </c>
      <c r="J580" s="81">
        <f t="shared" si="2"/>
        <v>0.5087798289</v>
      </c>
    </row>
    <row r="581">
      <c r="A581" s="82">
        <v>44684.0</v>
      </c>
      <c r="B581" s="66">
        <v>2369.0</v>
      </c>
      <c r="C581" s="66">
        <v>2.0</v>
      </c>
      <c r="D581" s="66" t="s">
        <v>205</v>
      </c>
      <c r="E581" s="66">
        <v>0.0</v>
      </c>
      <c r="F581" s="66">
        <v>0.3833</v>
      </c>
      <c r="G581" s="66">
        <v>0.195</v>
      </c>
      <c r="H581" s="66" t="s">
        <v>226</v>
      </c>
      <c r="I581" s="81">
        <f t="shared" si="1"/>
        <v>0.9656410256</v>
      </c>
      <c r="J581" s="81">
        <f t="shared" si="2"/>
        <v>0.5087398904</v>
      </c>
    </row>
    <row r="582">
      <c r="A582" s="82">
        <v>44684.0</v>
      </c>
      <c r="B582" s="66">
        <v>2369.0</v>
      </c>
      <c r="C582" s="66">
        <v>2.0</v>
      </c>
      <c r="D582" s="66" t="s">
        <v>204</v>
      </c>
      <c r="E582" s="66">
        <v>1.0</v>
      </c>
      <c r="F582" s="66">
        <v>0.7275</v>
      </c>
      <c r="G582" s="66">
        <v>0.3699</v>
      </c>
      <c r="H582" s="66" t="s">
        <v>226</v>
      </c>
      <c r="I582" s="81">
        <f t="shared" si="1"/>
        <v>0.9667477697</v>
      </c>
      <c r="J582" s="81">
        <f t="shared" si="2"/>
        <v>0.5084536082</v>
      </c>
    </row>
    <row r="583">
      <c r="A583" s="82">
        <v>44684.0</v>
      </c>
      <c r="B583" s="66">
        <v>2369.0</v>
      </c>
      <c r="C583" s="66">
        <v>3.0</v>
      </c>
      <c r="D583" s="66" t="s">
        <v>205</v>
      </c>
      <c r="E583" s="66">
        <v>0.0</v>
      </c>
      <c r="F583" s="66">
        <v>0.985</v>
      </c>
      <c r="G583" s="66">
        <v>0.5008</v>
      </c>
      <c r="H583" s="66" t="s">
        <v>230</v>
      </c>
      <c r="I583" s="81">
        <f t="shared" si="1"/>
        <v>0.9668530351</v>
      </c>
      <c r="J583" s="81">
        <f t="shared" si="2"/>
        <v>0.5084263959</v>
      </c>
    </row>
    <row r="584">
      <c r="A584" s="82">
        <v>44684.0</v>
      </c>
      <c r="B584" s="66">
        <v>2369.0</v>
      </c>
      <c r="C584" s="66">
        <v>3.0</v>
      </c>
      <c r="D584" s="66" t="s">
        <v>204</v>
      </c>
      <c r="E584" s="66">
        <v>0.0</v>
      </c>
      <c r="F584" s="66">
        <v>0.0663</v>
      </c>
      <c r="G584" s="66">
        <v>0.0337</v>
      </c>
      <c r="H584" s="66" t="s">
        <v>230</v>
      </c>
      <c r="I584" s="81">
        <f t="shared" si="1"/>
        <v>0.9673590504</v>
      </c>
      <c r="J584" s="81">
        <f t="shared" si="2"/>
        <v>0.5082956259</v>
      </c>
    </row>
    <row r="585">
      <c r="A585" s="82">
        <v>44684.0</v>
      </c>
      <c r="B585" s="66">
        <v>2369.0</v>
      </c>
      <c r="C585" s="66">
        <v>3.0</v>
      </c>
      <c r="D585" s="66" t="s">
        <v>204</v>
      </c>
      <c r="E585" s="66">
        <v>1.0</v>
      </c>
      <c r="F585" s="66">
        <v>0.7125</v>
      </c>
      <c r="G585" s="66">
        <v>0.362</v>
      </c>
      <c r="H585" s="66" t="s">
        <v>227</v>
      </c>
      <c r="I585" s="81">
        <f t="shared" si="1"/>
        <v>0.9682320442</v>
      </c>
      <c r="J585" s="81">
        <f t="shared" si="2"/>
        <v>0.5080701754</v>
      </c>
    </row>
    <row r="586">
      <c r="A586" s="82">
        <v>44684.0</v>
      </c>
      <c r="B586" s="66">
        <v>2382.0</v>
      </c>
      <c r="C586" s="66">
        <v>1.0</v>
      </c>
      <c r="D586" s="66" t="s">
        <v>205</v>
      </c>
      <c r="E586" s="66">
        <v>0.0</v>
      </c>
      <c r="F586" s="66">
        <v>0.2805</v>
      </c>
      <c r="G586" s="66">
        <v>0.1425</v>
      </c>
      <c r="I586" s="81">
        <f t="shared" si="1"/>
        <v>0.9684210526</v>
      </c>
      <c r="J586" s="81">
        <f t="shared" si="2"/>
        <v>0.5080213904</v>
      </c>
    </row>
    <row r="587">
      <c r="A587" s="82">
        <v>44684.0</v>
      </c>
      <c r="B587" s="66">
        <v>2382.0</v>
      </c>
      <c r="C587" s="66">
        <v>1.0</v>
      </c>
      <c r="D587" s="66" t="s">
        <v>204</v>
      </c>
      <c r="E587" s="66">
        <v>0.0</v>
      </c>
      <c r="F587" s="66">
        <v>0.5631</v>
      </c>
      <c r="G587" s="66">
        <v>0.286</v>
      </c>
      <c r="H587" s="66" t="s">
        <v>227</v>
      </c>
      <c r="I587" s="81">
        <f t="shared" si="1"/>
        <v>0.9688811189</v>
      </c>
      <c r="J587" s="81">
        <f t="shared" si="2"/>
        <v>0.5079026816</v>
      </c>
    </row>
    <row r="588">
      <c r="A588" s="82">
        <v>44684.0</v>
      </c>
      <c r="B588" s="66">
        <v>2382.0</v>
      </c>
      <c r="C588" s="66">
        <v>1.0</v>
      </c>
      <c r="D588" s="66" t="s">
        <v>204</v>
      </c>
      <c r="E588" s="66">
        <v>1.0</v>
      </c>
      <c r="F588" s="66">
        <v>2.0912</v>
      </c>
      <c r="G588" s="66">
        <v>1.0621</v>
      </c>
      <c r="H588" s="66" t="s">
        <v>227</v>
      </c>
      <c r="I588" s="81">
        <f t="shared" si="1"/>
        <v>0.9689294793</v>
      </c>
      <c r="J588" s="81">
        <f t="shared" si="2"/>
        <v>0.5078902066</v>
      </c>
    </row>
    <row r="589">
      <c r="A589" s="82">
        <v>44684.0</v>
      </c>
      <c r="B589" s="66">
        <v>2382.0</v>
      </c>
      <c r="C589" s="66">
        <v>2.0</v>
      </c>
      <c r="D589" s="66" t="s">
        <v>205</v>
      </c>
      <c r="E589" s="66">
        <v>0.0</v>
      </c>
      <c r="F589" s="66">
        <v>0.4769</v>
      </c>
      <c r="G589" s="66">
        <v>0.2422</v>
      </c>
      <c r="H589" s="66" t="s">
        <v>230</v>
      </c>
      <c r="I589" s="81">
        <f t="shared" si="1"/>
        <v>0.9690338563</v>
      </c>
      <c r="J589" s="81">
        <f t="shared" si="2"/>
        <v>0.5078632837</v>
      </c>
    </row>
    <row r="590">
      <c r="A590" s="82">
        <v>44684.0</v>
      </c>
      <c r="B590" s="66">
        <v>2382.0</v>
      </c>
      <c r="C590" s="66">
        <v>2.0</v>
      </c>
      <c r="D590" s="66" t="s">
        <v>204</v>
      </c>
      <c r="E590" s="66">
        <v>0.0</v>
      </c>
      <c r="F590" s="66">
        <v>2.2135</v>
      </c>
      <c r="G590" s="66">
        <v>1.124</v>
      </c>
      <c r="I590" s="81">
        <f t="shared" si="1"/>
        <v>0.9693060498</v>
      </c>
      <c r="J590" s="81">
        <f t="shared" si="2"/>
        <v>0.5077930879</v>
      </c>
    </row>
    <row r="591">
      <c r="A591" s="82">
        <v>44684.0</v>
      </c>
      <c r="B591" s="66">
        <v>2382.0</v>
      </c>
      <c r="C591" s="66">
        <v>2.0</v>
      </c>
      <c r="D591" s="66" t="s">
        <v>204</v>
      </c>
      <c r="E591" s="66">
        <v>1.0</v>
      </c>
      <c r="F591" s="66">
        <v>0.7149</v>
      </c>
      <c r="G591" s="66">
        <v>0.363</v>
      </c>
      <c r="I591" s="81">
        <f t="shared" si="1"/>
        <v>0.9694214876</v>
      </c>
      <c r="J591" s="81">
        <f t="shared" si="2"/>
        <v>0.5077633235</v>
      </c>
    </row>
    <row r="592">
      <c r="A592" s="82">
        <v>44684.0</v>
      </c>
      <c r="B592" s="66">
        <v>2382.0</v>
      </c>
      <c r="C592" s="66">
        <v>3.0</v>
      </c>
      <c r="D592" s="66" t="s">
        <v>205</v>
      </c>
      <c r="E592" s="66">
        <v>0.0</v>
      </c>
      <c r="F592" s="66">
        <v>1.9765</v>
      </c>
      <c r="G592" s="66">
        <v>1.0035</v>
      </c>
      <c r="H592" s="66" t="s">
        <v>226</v>
      </c>
      <c r="I592" s="81">
        <f t="shared" si="1"/>
        <v>0.9696063777</v>
      </c>
      <c r="J592" s="81">
        <f t="shared" si="2"/>
        <v>0.507715659</v>
      </c>
    </row>
    <row r="593">
      <c r="A593" s="82">
        <v>44684.0</v>
      </c>
      <c r="B593" s="66">
        <v>2382.0</v>
      </c>
      <c r="C593" s="66">
        <v>3.0</v>
      </c>
      <c r="D593" s="66" t="s">
        <v>204</v>
      </c>
      <c r="E593" s="66">
        <v>0.0</v>
      </c>
      <c r="F593" s="66">
        <v>0.0985</v>
      </c>
      <c r="G593" s="66">
        <v>0.05</v>
      </c>
      <c r="H593" s="66" t="s">
        <v>226</v>
      </c>
      <c r="I593" s="81">
        <f t="shared" si="1"/>
        <v>0.97</v>
      </c>
      <c r="J593" s="81">
        <f t="shared" si="2"/>
        <v>0.5076142132</v>
      </c>
    </row>
    <row r="594">
      <c r="A594" s="82">
        <v>44684.0</v>
      </c>
      <c r="B594" s="66">
        <v>2382.0</v>
      </c>
      <c r="C594" s="66">
        <v>3.0</v>
      </c>
      <c r="D594" s="66" t="s">
        <v>204</v>
      </c>
      <c r="E594" s="66">
        <v>1.0</v>
      </c>
      <c r="F594" s="66">
        <v>0.7262</v>
      </c>
      <c r="G594" s="66">
        <v>0.3686</v>
      </c>
      <c r="I594" s="81">
        <f t="shared" si="1"/>
        <v>0.9701573521</v>
      </c>
      <c r="J594" s="81">
        <f t="shared" si="2"/>
        <v>0.5075736712</v>
      </c>
    </row>
    <row r="595">
      <c r="A595" s="82">
        <v>44684.0</v>
      </c>
      <c r="B595" s="66">
        <v>2384.0</v>
      </c>
      <c r="C595" s="66">
        <v>1.0</v>
      </c>
      <c r="D595" s="66" t="s">
        <v>205</v>
      </c>
      <c r="E595" s="66">
        <v>0.0</v>
      </c>
      <c r="F595" s="66">
        <v>0.5872</v>
      </c>
      <c r="G595" s="66">
        <v>0.298</v>
      </c>
      <c r="I595" s="81">
        <f t="shared" si="1"/>
        <v>0.9704697987</v>
      </c>
      <c r="J595" s="81">
        <f t="shared" si="2"/>
        <v>0.507493188</v>
      </c>
    </row>
    <row r="596">
      <c r="A596" s="82">
        <v>44684.0</v>
      </c>
      <c r="B596" s="66">
        <v>2384.0</v>
      </c>
      <c r="C596" s="66">
        <v>1.0</v>
      </c>
      <c r="D596" s="66" t="s">
        <v>204</v>
      </c>
      <c r="E596" s="66">
        <v>0.0</v>
      </c>
      <c r="F596" s="66">
        <v>0.3271</v>
      </c>
      <c r="G596" s="66">
        <v>0.166</v>
      </c>
      <c r="H596" s="66" t="s">
        <v>227</v>
      </c>
      <c r="I596" s="81">
        <f t="shared" si="1"/>
        <v>0.9704819277</v>
      </c>
      <c r="J596" s="81">
        <f t="shared" si="2"/>
        <v>0.5074900642</v>
      </c>
    </row>
    <row r="597">
      <c r="A597" s="82">
        <v>44684.0</v>
      </c>
      <c r="B597" s="66">
        <v>2384.0</v>
      </c>
      <c r="C597" s="66">
        <v>1.0</v>
      </c>
      <c r="D597" s="66" t="s">
        <v>204</v>
      </c>
      <c r="E597" s="66">
        <v>1.0</v>
      </c>
      <c r="F597" s="66">
        <v>0.3271</v>
      </c>
      <c r="G597" s="66">
        <v>0.166</v>
      </c>
      <c r="H597" s="66" t="s">
        <v>227</v>
      </c>
      <c r="I597" s="81">
        <f t="shared" si="1"/>
        <v>0.9704819277</v>
      </c>
      <c r="J597" s="81">
        <f t="shared" si="2"/>
        <v>0.5074900642</v>
      </c>
    </row>
    <row r="598">
      <c r="A598" s="82">
        <v>44684.0</v>
      </c>
      <c r="B598" s="66">
        <v>2384.0</v>
      </c>
      <c r="C598" s="66">
        <v>2.0</v>
      </c>
      <c r="D598" s="66" t="s">
        <v>205</v>
      </c>
      <c r="E598" s="66">
        <v>0.0</v>
      </c>
      <c r="F598" s="66">
        <v>0.8296</v>
      </c>
      <c r="G598" s="66">
        <v>0.421</v>
      </c>
      <c r="I598" s="81">
        <f t="shared" si="1"/>
        <v>0.9705463183</v>
      </c>
      <c r="J598" s="81">
        <f t="shared" si="2"/>
        <v>0.5074734812</v>
      </c>
    </row>
    <row r="599">
      <c r="A599" s="82">
        <v>44684.0</v>
      </c>
      <c r="B599" s="66">
        <v>2384.0</v>
      </c>
      <c r="C599" s="66">
        <v>2.0</v>
      </c>
      <c r="D599" s="66" t="s">
        <v>204</v>
      </c>
      <c r="E599" s="66">
        <v>0.0</v>
      </c>
      <c r="F599" s="66">
        <v>0.0749</v>
      </c>
      <c r="G599" s="66">
        <v>0.038</v>
      </c>
      <c r="I599" s="81">
        <f t="shared" si="1"/>
        <v>0.9710526316</v>
      </c>
      <c r="J599" s="81">
        <f t="shared" si="2"/>
        <v>0.5073431242</v>
      </c>
    </row>
    <row r="600">
      <c r="A600" s="82">
        <v>44684.0</v>
      </c>
      <c r="B600" s="66">
        <v>2384.0</v>
      </c>
      <c r="C600" s="66">
        <v>2.0</v>
      </c>
      <c r="D600" s="66" t="s">
        <v>204</v>
      </c>
      <c r="E600" s="66">
        <v>1.0</v>
      </c>
      <c r="F600" s="66">
        <v>0.6657</v>
      </c>
      <c r="G600" s="66">
        <v>0.3377</v>
      </c>
      <c r="H600" s="66" t="s">
        <v>226</v>
      </c>
      <c r="I600" s="81">
        <f t="shared" si="1"/>
        <v>0.9712762807</v>
      </c>
      <c r="J600" s="81">
        <f t="shared" si="2"/>
        <v>0.5072855641</v>
      </c>
    </row>
    <row r="601">
      <c r="A601" s="82">
        <v>44684.0</v>
      </c>
      <c r="B601" s="66">
        <v>2384.0</v>
      </c>
      <c r="C601" s="66">
        <v>3.0</v>
      </c>
      <c r="D601" s="66" t="s">
        <v>205</v>
      </c>
      <c r="E601" s="66">
        <v>0.0</v>
      </c>
      <c r="F601" s="66">
        <v>1.2416</v>
      </c>
      <c r="G601" s="66">
        <v>0.6298</v>
      </c>
      <c r="I601" s="81">
        <f t="shared" si="1"/>
        <v>0.9714194983</v>
      </c>
      <c r="J601" s="81">
        <f t="shared" si="2"/>
        <v>0.5072487113</v>
      </c>
    </row>
    <row r="602">
      <c r="A602" s="82">
        <v>44684.0</v>
      </c>
      <c r="B602" s="66">
        <v>2384.0</v>
      </c>
      <c r="C602" s="66">
        <v>3.0</v>
      </c>
      <c r="D602" s="66" t="s">
        <v>204</v>
      </c>
      <c r="E602" s="66">
        <v>0.0</v>
      </c>
      <c r="F602" s="66">
        <v>0.4574</v>
      </c>
      <c r="G602" s="66">
        <v>0.232</v>
      </c>
      <c r="H602" s="66" t="s">
        <v>227</v>
      </c>
      <c r="I602" s="81">
        <f t="shared" si="1"/>
        <v>0.9715517241</v>
      </c>
      <c r="J602" s="81">
        <f t="shared" si="2"/>
        <v>0.5072146917</v>
      </c>
    </row>
    <row r="603">
      <c r="A603" s="82">
        <v>44684.0</v>
      </c>
      <c r="B603" s="66">
        <v>2384.0</v>
      </c>
      <c r="C603" s="66">
        <v>3.0</v>
      </c>
      <c r="D603" s="66" t="s">
        <v>204</v>
      </c>
      <c r="E603" s="66">
        <v>1.0</v>
      </c>
      <c r="F603" s="66">
        <v>2.2479</v>
      </c>
      <c r="G603" s="66">
        <v>1.14</v>
      </c>
      <c r="I603" s="81">
        <f t="shared" si="1"/>
        <v>0.9718421053</v>
      </c>
      <c r="J603" s="81">
        <f t="shared" si="2"/>
        <v>0.5071399973</v>
      </c>
    </row>
    <row r="604">
      <c r="A604" s="82">
        <v>44684.0</v>
      </c>
      <c r="B604" s="66">
        <v>2434.0</v>
      </c>
      <c r="C604" s="66">
        <v>2.0</v>
      </c>
      <c r="D604" s="66" t="s">
        <v>205</v>
      </c>
      <c r="E604" s="66">
        <v>0.0</v>
      </c>
      <c r="F604" s="66">
        <v>0.2536</v>
      </c>
      <c r="G604" s="66">
        <v>0.1286</v>
      </c>
      <c r="I604" s="81">
        <f t="shared" si="1"/>
        <v>0.9720062208</v>
      </c>
      <c r="J604" s="81">
        <f t="shared" si="2"/>
        <v>0.5070977918</v>
      </c>
    </row>
    <row r="605">
      <c r="A605" s="82">
        <v>44685.0</v>
      </c>
      <c r="B605" s="66">
        <v>2010.0</v>
      </c>
      <c r="C605" s="66">
        <v>1.0</v>
      </c>
      <c r="D605" s="66" t="s">
        <v>204</v>
      </c>
      <c r="E605" s="66">
        <v>1.0</v>
      </c>
      <c r="F605" s="66">
        <v>0.1203</v>
      </c>
      <c r="G605" s="66">
        <v>0.061</v>
      </c>
      <c r="I605" s="81">
        <f t="shared" si="1"/>
        <v>0.9721311475</v>
      </c>
      <c r="J605" s="81">
        <f t="shared" si="2"/>
        <v>0.5070656692</v>
      </c>
    </row>
    <row r="606">
      <c r="A606" s="82">
        <v>44685.0</v>
      </c>
      <c r="B606" s="66">
        <v>2011.0</v>
      </c>
      <c r="C606" s="66">
        <v>1.0</v>
      </c>
      <c r="D606" s="66" t="s">
        <v>205</v>
      </c>
      <c r="E606" s="66">
        <v>0.0</v>
      </c>
      <c r="F606" s="66">
        <v>0.1026</v>
      </c>
      <c r="G606" s="66">
        <v>0.052</v>
      </c>
      <c r="I606" s="81">
        <f t="shared" si="1"/>
        <v>0.9730769231</v>
      </c>
      <c r="J606" s="81">
        <f t="shared" si="2"/>
        <v>0.5068226121</v>
      </c>
    </row>
    <row r="607">
      <c r="A607" s="82">
        <v>44685.0</v>
      </c>
      <c r="B607" s="66">
        <v>2011.0</v>
      </c>
      <c r="C607" s="66">
        <v>1.0</v>
      </c>
      <c r="D607" s="66" t="s">
        <v>204</v>
      </c>
      <c r="E607" s="66">
        <v>0.0</v>
      </c>
      <c r="F607" s="66">
        <v>1.0301</v>
      </c>
      <c r="G607" s="66">
        <v>0.522</v>
      </c>
      <c r="I607" s="81">
        <f t="shared" si="1"/>
        <v>0.9733716475</v>
      </c>
      <c r="J607" s="81">
        <f t="shared" si="2"/>
        <v>0.5067469178</v>
      </c>
    </row>
    <row r="608">
      <c r="A608" s="82">
        <v>44685.0</v>
      </c>
      <c r="B608" s="66">
        <v>2011.0</v>
      </c>
      <c r="C608" s="66">
        <v>1.0</v>
      </c>
      <c r="D608" s="66" t="s">
        <v>204</v>
      </c>
      <c r="E608" s="66">
        <v>1.0</v>
      </c>
      <c r="F608" s="66">
        <v>0.223</v>
      </c>
      <c r="G608" s="66">
        <v>0.113</v>
      </c>
      <c r="I608" s="81">
        <f t="shared" si="1"/>
        <v>0.9734513274</v>
      </c>
      <c r="J608" s="81">
        <f t="shared" si="2"/>
        <v>0.5067264574</v>
      </c>
    </row>
    <row r="609">
      <c r="A609" s="82">
        <v>44685.0</v>
      </c>
      <c r="B609" s="66">
        <v>2011.0</v>
      </c>
      <c r="C609" s="66">
        <v>2.0</v>
      </c>
      <c r="D609" s="66" t="s">
        <v>205</v>
      </c>
      <c r="E609" s="66">
        <v>0.0</v>
      </c>
      <c r="F609" s="66">
        <v>0.1145</v>
      </c>
      <c r="G609" s="66">
        <v>0.058</v>
      </c>
      <c r="I609" s="81">
        <f t="shared" si="1"/>
        <v>0.974137931</v>
      </c>
      <c r="J609" s="81">
        <f t="shared" si="2"/>
        <v>0.5065502183</v>
      </c>
    </row>
    <row r="610">
      <c r="A610" s="82">
        <v>44685.0</v>
      </c>
      <c r="B610" s="66">
        <v>2011.0</v>
      </c>
      <c r="C610" s="66">
        <v>2.0</v>
      </c>
      <c r="D610" s="66" t="s">
        <v>204</v>
      </c>
      <c r="E610" s="66">
        <v>0.0</v>
      </c>
      <c r="F610" s="66">
        <v>0.8668</v>
      </c>
      <c r="G610" s="66">
        <v>0.439</v>
      </c>
      <c r="I610" s="81">
        <f t="shared" si="1"/>
        <v>0.9744874715</v>
      </c>
      <c r="J610" s="81">
        <f t="shared" si="2"/>
        <v>0.5064605445</v>
      </c>
    </row>
    <row r="611">
      <c r="A611" s="82">
        <v>44685.0</v>
      </c>
      <c r="B611" s="66">
        <v>2011.0</v>
      </c>
      <c r="C611" s="66">
        <v>2.0</v>
      </c>
      <c r="D611" s="66" t="s">
        <v>204</v>
      </c>
      <c r="E611" s="66">
        <v>1.0</v>
      </c>
      <c r="F611" s="66">
        <v>0.2101</v>
      </c>
      <c r="G611" s="66">
        <v>0.1064</v>
      </c>
      <c r="I611" s="81">
        <f t="shared" si="1"/>
        <v>0.9746240602</v>
      </c>
      <c r="J611" s="81">
        <f t="shared" si="2"/>
        <v>0.5064255117</v>
      </c>
    </row>
    <row r="612">
      <c r="A612" s="82">
        <v>44685.0</v>
      </c>
      <c r="B612" s="66">
        <v>2011.0</v>
      </c>
      <c r="C612" s="66">
        <v>3.0</v>
      </c>
      <c r="D612" s="66" t="s">
        <v>205</v>
      </c>
      <c r="E612" s="66">
        <v>0.0</v>
      </c>
      <c r="F612" s="66">
        <v>0.6339</v>
      </c>
      <c r="G612" s="66">
        <v>0.321</v>
      </c>
      <c r="I612" s="81">
        <f t="shared" si="1"/>
        <v>0.9747663551</v>
      </c>
      <c r="J612" s="81">
        <f t="shared" si="2"/>
        <v>0.5063890204</v>
      </c>
    </row>
    <row r="613">
      <c r="A613" s="82">
        <v>44685.0</v>
      </c>
      <c r="B613" s="66">
        <v>2011.0</v>
      </c>
      <c r="C613" s="66">
        <v>3.0</v>
      </c>
      <c r="D613" s="66" t="s">
        <v>204</v>
      </c>
      <c r="E613" s="66">
        <v>0.0</v>
      </c>
      <c r="F613" s="66">
        <v>0.2192</v>
      </c>
      <c r="G613" s="66">
        <v>0.111</v>
      </c>
      <c r="I613" s="81">
        <f t="shared" si="1"/>
        <v>0.9747747748</v>
      </c>
      <c r="J613" s="81">
        <f t="shared" si="2"/>
        <v>0.5063868613</v>
      </c>
    </row>
    <row r="614">
      <c r="A614" s="82">
        <v>44685.0</v>
      </c>
      <c r="B614" s="66">
        <v>2011.0</v>
      </c>
      <c r="C614" s="66">
        <v>3.0</v>
      </c>
      <c r="D614" s="66" t="s">
        <v>204</v>
      </c>
      <c r="E614" s="66">
        <v>1.0</v>
      </c>
      <c r="F614" s="66">
        <v>0.1564</v>
      </c>
      <c r="G614" s="66">
        <v>0.0791</v>
      </c>
      <c r="H614" s="66" t="s">
        <v>230</v>
      </c>
      <c r="I614" s="81">
        <f t="shared" si="1"/>
        <v>0.9772439949</v>
      </c>
      <c r="J614" s="81">
        <f t="shared" si="2"/>
        <v>0.5057544757</v>
      </c>
    </row>
    <row r="615">
      <c r="A615" s="82">
        <v>44685.0</v>
      </c>
      <c r="B615" s="66">
        <v>2301.0</v>
      </c>
      <c r="C615" s="66">
        <v>1.0</v>
      </c>
      <c r="D615" s="66" t="s">
        <v>205</v>
      </c>
      <c r="E615" s="66">
        <v>1.0</v>
      </c>
      <c r="F615" s="66">
        <v>0.2053</v>
      </c>
      <c r="G615" s="66">
        <v>0.1038</v>
      </c>
      <c r="I615" s="81">
        <f t="shared" si="1"/>
        <v>0.9778420039</v>
      </c>
      <c r="J615" s="81">
        <f t="shared" si="2"/>
        <v>0.5056015587</v>
      </c>
    </row>
    <row r="616">
      <c r="A616" s="82">
        <v>44685.0</v>
      </c>
      <c r="B616" s="66">
        <v>2301.0</v>
      </c>
      <c r="C616" s="66">
        <v>1.0</v>
      </c>
      <c r="D616" s="66" t="s">
        <v>204</v>
      </c>
      <c r="E616" s="66">
        <v>1.0</v>
      </c>
      <c r="F616" s="66">
        <v>0.0857</v>
      </c>
      <c r="G616" s="66">
        <v>0.0433</v>
      </c>
      <c r="I616" s="81">
        <f t="shared" si="1"/>
        <v>0.9792147806</v>
      </c>
      <c r="J616" s="81">
        <f t="shared" si="2"/>
        <v>0.5052508751</v>
      </c>
    </row>
    <row r="617">
      <c r="A617" s="82">
        <v>44685.0</v>
      </c>
      <c r="B617" s="66">
        <v>2301.0</v>
      </c>
      <c r="C617" s="66">
        <v>2.0</v>
      </c>
      <c r="D617" s="66" t="s">
        <v>205</v>
      </c>
      <c r="E617" s="66">
        <v>1.0</v>
      </c>
      <c r="F617" s="66">
        <v>0.1144</v>
      </c>
      <c r="G617" s="66">
        <v>0.0578</v>
      </c>
      <c r="I617" s="81">
        <f t="shared" si="1"/>
        <v>0.9792387543</v>
      </c>
      <c r="J617" s="81">
        <f t="shared" si="2"/>
        <v>0.5052447552</v>
      </c>
    </row>
    <row r="618">
      <c r="A618" s="82">
        <v>44685.0</v>
      </c>
      <c r="B618" s="66">
        <v>2301.0</v>
      </c>
      <c r="C618" s="66">
        <v>2.0</v>
      </c>
      <c r="D618" s="66" t="s">
        <v>204</v>
      </c>
      <c r="E618" s="66">
        <v>1.0</v>
      </c>
      <c r="F618" s="66">
        <v>0.287</v>
      </c>
      <c r="G618" s="66">
        <v>0.145</v>
      </c>
      <c r="H618" s="66" t="s">
        <v>229</v>
      </c>
      <c r="I618" s="81">
        <f t="shared" si="1"/>
        <v>0.9793103448</v>
      </c>
      <c r="J618" s="81">
        <f t="shared" si="2"/>
        <v>0.5052264808</v>
      </c>
    </row>
    <row r="619">
      <c r="A619" s="82">
        <v>44685.0</v>
      </c>
      <c r="B619" s="66">
        <v>2301.0</v>
      </c>
      <c r="C619" s="66">
        <v>3.0</v>
      </c>
      <c r="D619" s="66" t="s">
        <v>205</v>
      </c>
      <c r="E619" s="66">
        <v>1.0</v>
      </c>
      <c r="F619" s="66">
        <v>0.7641</v>
      </c>
      <c r="G619" s="66">
        <v>0.386</v>
      </c>
      <c r="I619" s="81">
        <f t="shared" si="1"/>
        <v>0.9795336788</v>
      </c>
      <c r="J619" s="81">
        <f t="shared" si="2"/>
        <v>0.5051694804</v>
      </c>
    </row>
    <row r="620">
      <c r="A620" s="82">
        <v>44685.0</v>
      </c>
      <c r="B620" s="66">
        <v>2301.0</v>
      </c>
      <c r="C620" s="66">
        <v>3.0</v>
      </c>
      <c r="D620" s="66" t="s">
        <v>204</v>
      </c>
      <c r="E620" s="66">
        <v>1.0</v>
      </c>
      <c r="F620" s="66">
        <v>0.1463</v>
      </c>
      <c r="G620" s="66">
        <v>0.0739</v>
      </c>
      <c r="H620" s="66" t="s">
        <v>230</v>
      </c>
      <c r="I620" s="81">
        <f t="shared" si="1"/>
        <v>0.9797023004</v>
      </c>
      <c r="J620" s="81">
        <f t="shared" si="2"/>
        <v>0.5051264525</v>
      </c>
    </row>
    <row r="621">
      <c r="A621" s="82">
        <v>44685.0</v>
      </c>
      <c r="B621" s="66">
        <v>2331.0</v>
      </c>
      <c r="C621" s="66">
        <v>1.0</v>
      </c>
      <c r="D621" s="66" t="s">
        <v>205</v>
      </c>
      <c r="E621" s="66">
        <v>1.0</v>
      </c>
      <c r="F621" s="66">
        <v>0.0592</v>
      </c>
      <c r="G621" s="66">
        <v>0.0299</v>
      </c>
      <c r="I621" s="81">
        <f t="shared" si="1"/>
        <v>0.9799331104</v>
      </c>
      <c r="J621" s="81">
        <f t="shared" si="2"/>
        <v>0.5050675676</v>
      </c>
    </row>
    <row r="622">
      <c r="A622" s="82">
        <v>44685.0</v>
      </c>
      <c r="B622" s="66">
        <v>2331.0</v>
      </c>
      <c r="C622" s="66">
        <v>1.0</v>
      </c>
      <c r="D622" s="66" t="s">
        <v>204</v>
      </c>
      <c r="E622" s="66">
        <v>1.0</v>
      </c>
      <c r="F622" s="66">
        <v>4.063</v>
      </c>
      <c r="G622" s="66">
        <v>2.052</v>
      </c>
      <c r="H622" s="66" t="s">
        <v>228</v>
      </c>
      <c r="I622" s="81">
        <f t="shared" si="1"/>
        <v>0.9800194932</v>
      </c>
      <c r="J622" s="81">
        <f t="shared" si="2"/>
        <v>0.5050455329</v>
      </c>
    </row>
    <row r="623">
      <c r="A623" s="82">
        <v>44685.0</v>
      </c>
      <c r="B623" s="66">
        <v>2331.0</v>
      </c>
      <c r="C623" s="66">
        <v>2.0</v>
      </c>
      <c r="D623" s="66" t="s">
        <v>205</v>
      </c>
      <c r="E623" s="66">
        <v>0.0</v>
      </c>
      <c r="F623" s="66">
        <v>1.193</v>
      </c>
      <c r="G623" s="66">
        <v>0.6024</v>
      </c>
      <c r="I623" s="81">
        <f t="shared" si="1"/>
        <v>0.9804116866</v>
      </c>
      <c r="J623" s="81">
        <f t="shared" si="2"/>
        <v>0.5049455155</v>
      </c>
    </row>
    <row r="624">
      <c r="A624" s="82">
        <v>44685.0</v>
      </c>
      <c r="B624" s="66">
        <v>2331.0</v>
      </c>
      <c r="C624" s="66">
        <v>2.0</v>
      </c>
      <c r="D624" s="66" t="s">
        <v>205</v>
      </c>
      <c r="E624" s="66">
        <v>1.0</v>
      </c>
      <c r="F624" s="66">
        <v>1.2971</v>
      </c>
      <c r="G624" s="66">
        <v>0.6548</v>
      </c>
      <c r="H624" s="66" t="s">
        <v>230</v>
      </c>
      <c r="I624" s="81">
        <f t="shared" si="1"/>
        <v>0.9809102016</v>
      </c>
      <c r="J624" s="81">
        <f t="shared" si="2"/>
        <v>0.5048184411</v>
      </c>
    </row>
    <row r="625">
      <c r="A625" s="82">
        <v>44685.0</v>
      </c>
      <c r="B625" s="66">
        <v>2331.0</v>
      </c>
      <c r="C625" s="66">
        <v>2.0</v>
      </c>
      <c r="D625" s="66" t="s">
        <v>204</v>
      </c>
      <c r="E625" s="66">
        <v>0.0</v>
      </c>
      <c r="F625" s="66">
        <v>0.1783</v>
      </c>
      <c r="G625" s="66">
        <v>0.09</v>
      </c>
      <c r="H625" s="66" t="s">
        <v>226</v>
      </c>
      <c r="I625" s="81">
        <f t="shared" si="1"/>
        <v>0.9811111111</v>
      </c>
      <c r="J625" s="81">
        <f t="shared" si="2"/>
        <v>0.5047672462</v>
      </c>
    </row>
    <row r="626">
      <c r="A626" s="82">
        <v>44685.0</v>
      </c>
      <c r="B626" s="66">
        <v>2331.0</v>
      </c>
      <c r="C626" s="66">
        <v>2.0</v>
      </c>
      <c r="D626" s="66" t="s">
        <v>204</v>
      </c>
      <c r="E626" s="66">
        <v>1.0</v>
      </c>
      <c r="F626" s="66">
        <v>1.2105</v>
      </c>
      <c r="G626" s="66">
        <v>0.6109</v>
      </c>
      <c r="I626" s="81">
        <f t="shared" si="1"/>
        <v>0.9815027009</v>
      </c>
      <c r="J626" s="81">
        <f t="shared" si="2"/>
        <v>0.5046674928</v>
      </c>
    </row>
    <row r="627">
      <c r="A627" s="82">
        <v>44685.0</v>
      </c>
      <c r="B627" s="66">
        <v>2331.0</v>
      </c>
      <c r="C627" s="66">
        <v>3.0</v>
      </c>
      <c r="D627" s="66" t="s">
        <v>205</v>
      </c>
      <c r="E627" s="66">
        <v>1.0</v>
      </c>
      <c r="F627" s="66">
        <v>0.0985</v>
      </c>
      <c r="G627" s="66">
        <v>0.0497</v>
      </c>
      <c r="I627" s="81">
        <f t="shared" si="1"/>
        <v>0.9818913481</v>
      </c>
      <c r="J627" s="81">
        <f t="shared" si="2"/>
        <v>0.5045685279</v>
      </c>
    </row>
    <row r="628">
      <c r="A628" s="82">
        <v>44685.0</v>
      </c>
      <c r="B628" s="66">
        <v>2331.0</v>
      </c>
      <c r="C628" s="66">
        <v>3.0</v>
      </c>
      <c r="D628" s="66" t="s">
        <v>204</v>
      </c>
      <c r="E628" s="66">
        <v>1.0</v>
      </c>
      <c r="F628" s="66">
        <v>0.111</v>
      </c>
      <c r="G628" s="66">
        <v>0.056</v>
      </c>
      <c r="H628" s="66" t="s">
        <v>227</v>
      </c>
      <c r="I628" s="81">
        <f t="shared" si="1"/>
        <v>0.9821428571</v>
      </c>
      <c r="J628" s="81">
        <f t="shared" si="2"/>
        <v>0.5045045045</v>
      </c>
    </row>
    <row r="629">
      <c r="A629" s="82">
        <v>44685.0</v>
      </c>
      <c r="B629" s="66">
        <v>2343.0</v>
      </c>
      <c r="C629" s="66">
        <v>3.0</v>
      </c>
      <c r="D629" s="66" t="s">
        <v>205</v>
      </c>
      <c r="E629" s="66">
        <v>0.0</v>
      </c>
      <c r="F629" s="66">
        <v>0.2458</v>
      </c>
      <c r="G629" s="66">
        <v>0.124</v>
      </c>
      <c r="I629" s="81">
        <f t="shared" si="1"/>
        <v>0.9822580645</v>
      </c>
      <c r="J629" s="81">
        <f t="shared" si="2"/>
        <v>0.5044751831</v>
      </c>
    </row>
    <row r="630">
      <c r="A630" s="82">
        <v>44685.0</v>
      </c>
      <c r="B630" s="66">
        <v>2343.0</v>
      </c>
      <c r="C630" s="66">
        <v>3.0</v>
      </c>
      <c r="D630" s="66" t="s">
        <v>204</v>
      </c>
      <c r="E630" s="66">
        <v>0.0</v>
      </c>
      <c r="F630" s="66">
        <v>1.8566</v>
      </c>
      <c r="G630" s="66">
        <v>0.9365</v>
      </c>
      <c r="H630" s="66" t="s">
        <v>227</v>
      </c>
      <c r="I630" s="81">
        <f t="shared" si="1"/>
        <v>0.9824879872</v>
      </c>
      <c r="J630" s="81">
        <f t="shared" si="2"/>
        <v>0.5044166756</v>
      </c>
    </row>
    <row r="631">
      <c r="A631" s="82">
        <v>44685.0</v>
      </c>
      <c r="B631" s="66">
        <v>2343.0</v>
      </c>
      <c r="C631" s="66">
        <v>3.0</v>
      </c>
      <c r="D631" s="66" t="s">
        <v>204</v>
      </c>
      <c r="E631" s="66">
        <v>1.0</v>
      </c>
      <c r="F631" s="66">
        <v>2.3696</v>
      </c>
      <c r="G631" s="66">
        <v>1.1948</v>
      </c>
      <c r="H631" s="66" t="s">
        <v>226</v>
      </c>
      <c r="I631" s="81">
        <f t="shared" si="1"/>
        <v>0.9832607968</v>
      </c>
      <c r="J631" s="81">
        <f t="shared" si="2"/>
        <v>0.5042201215</v>
      </c>
    </row>
    <row r="632">
      <c r="A632" s="82">
        <v>44685.0</v>
      </c>
      <c r="B632" s="66">
        <v>2345.0</v>
      </c>
      <c r="C632" s="66">
        <v>1.0</v>
      </c>
      <c r="D632" s="66" t="s">
        <v>205</v>
      </c>
      <c r="E632" s="66">
        <v>1.0</v>
      </c>
      <c r="F632" s="66">
        <v>0.1468</v>
      </c>
      <c r="G632" s="66">
        <v>0.074</v>
      </c>
      <c r="H632" s="66" t="s">
        <v>227</v>
      </c>
      <c r="I632" s="81">
        <f t="shared" si="1"/>
        <v>0.9837837838</v>
      </c>
      <c r="J632" s="81">
        <f t="shared" si="2"/>
        <v>0.5040871935</v>
      </c>
    </row>
    <row r="633">
      <c r="A633" s="82">
        <v>44685.0</v>
      </c>
      <c r="B633" s="66">
        <v>2345.0</v>
      </c>
      <c r="C633" s="66">
        <v>1.0</v>
      </c>
      <c r="D633" s="66" t="s">
        <v>204</v>
      </c>
      <c r="E633" s="66">
        <v>1.0</v>
      </c>
      <c r="F633" s="66">
        <v>0.1861</v>
      </c>
      <c r="G633" s="66">
        <v>0.0938</v>
      </c>
      <c r="I633" s="81">
        <f t="shared" si="1"/>
        <v>0.9840085288</v>
      </c>
      <c r="J633" s="81">
        <f t="shared" si="2"/>
        <v>0.5040300913</v>
      </c>
    </row>
    <row r="634">
      <c r="A634" s="82">
        <v>44685.0</v>
      </c>
      <c r="B634" s="66">
        <v>2345.0</v>
      </c>
      <c r="C634" s="66">
        <v>2.0</v>
      </c>
      <c r="D634" s="66" t="s">
        <v>205</v>
      </c>
      <c r="E634" s="66">
        <v>1.0</v>
      </c>
      <c r="F634" s="66">
        <v>0.1506</v>
      </c>
      <c r="G634" s="66">
        <v>0.0759</v>
      </c>
      <c r="H634" s="66" t="s">
        <v>230</v>
      </c>
      <c r="I634" s="81">
        <f t="shared" si="1"/>
        <v>0.9841897233</v>
      </c>
      <c r="J634" s="81">
        <f t="shared" si="2"/>
        <v>0.5039840637</v>
      </c>
    </row>
    <row r="635">
      <c r="A635" s="82">
        <v>44685.0</v>
      </c>
      <c r="B635" s="66">
        <v>2345.0</v>
      </c>
      <c r="C635" s="66">
        <v>2.0</v>
      </c>
      <c r="D635" s="66" t="s">
        <v>204</v>
      </c>
      <c r="E635" s="66">
        <v>1.0</v>
      </c>
      <c r="F635" s="66">
        <v>0.4544</v>
      </c>
      <c r="G635" s="66">
        <v>0.229</v>
      </c>
      <c r="H635" s="66" t="s">
        <v>227</v>
      </c>
      <c r="I635" s="81">
        <f t="shared" si="1"/>
        <v>0.984279476</v>
      </c>
      <c r="J635" s="81">
        <f t="shared" si="2"/>
        <v>0.5039612676</v>
      </c>
    </row>
    <row r="636">
      <c r="A636" s="82">
        <v>44685.0</v>
      </c>
      <c r="B636" s="66">
        <v>2345.0</v>
      </c>
      <c r="C636" s="66">
        <v>3.0</v>
      </c>
      <c r="D636" s="66" t="s">
        <v>205</v>
      </c>
      <c r="E636" s="66">
        <v>1.0</v>
      </c>
      <c r="F636" s="66">
        <v>0.1647</v>
      </c>
      <c r="G636" s="66">
        <v>0.083</v>
      </c>
      <c r="H636" s="66" t="s">
        <v>227</v>
      </c>
      <c r="I636" s="81">
        <f t="shared" si="1"/>
        <v>0.9843373494</v>
      </c>
      <c r="J636" s="81">
        <f t="shared" si="2"/>
        <v>0.5039465695</v>
      </c>
    </row>
    <row r="637">
      <c r="A637" s="82">
        <v>44685.0</v>
      </c>
      <c r="B637" s="66">
        <v>2345.0</v>
      </c>
      <c r="C637" s="66">
        <v>3.0</v>
      </c>
      <c r="D637" s="66" t="s">
        <v>204</v>
      </c>
      <c r="E637" s="66">
        <v>1.0</v>
      </c>
      <c r="F637" s="66">
        <v>0.127</v>
      </c>
      <c r="G637" s="66">
        <v>0.064</v>
      </c>
      <c r="H637" s="66" t="s">
        <v>229</v>
      </c>
      <c r="I637" s="81">
        <f t="shared" si="1"/>
        <v>0.984375</v>
      </c>
      <c r="J637" s="81">
        <f t="shared" si="2"/>
        <v>0.5039370079</v>
      </c>
    </row>
    <row r="638">
      <c r="A638" s="82">
        <v>44685.0</v>
      </c>
      <c r="B638" s="66">
        <v>2346.0</v>
      </c>
      <c r="C638" s="66">
        <v>3.0</v>
      </c>
      <c r="D638" s="66" t="s">
        <v>205</v>
      </c>
      <c r="E638" s="66">
        <v>0.0</v>
      </c>
      <c r="F638" s="66">
        <v>1.042</v>
      </c>
      <c r="G638" s="66">
        <v>0.525</v>
      </c>
      <c r="H638" s="66" t="s">
        <v>227</v>
      </c>
      <c r="I638" s="81">
        <f t="shared" si="1"/>
        <v>0.9847619048</v>
      </c>
      <c r="J638" s="81">
        <f t="shared" si="2"/>
        <v>0.5038387716</v>
      </c>
    </row>
    <row r="639">
      <c r="A639" s="82">
        <v>44685.0</v>
      </c>
      <c r="B639" s="66">
        <v>2352.0</v>
      </c>
      <c r="C639" s="66">
        <v>1.0</v>
      </c>
      <c r="D639" s="66" t="s">
        <v>205</v>
      </c>
      <c r="E639" s="66">
        <v>1.0</v>
      </c>
      <c r="F639" s="66">
        <v>0.1189</v>
      </c>
      <c r="G639" s="66">
        <v>0.0599</v>
      </c>
      <c r="I639" s="81">
        <f t="shared" si="1"/>
        <v>0.9849749583</v>
      </c>
      <c r="J639" s="81">
        <f t="shared" si="2"/>
        <v>0.503784693</v>
      </c>
    </row>
    <row r="640">
      <c r="A640" s="82">
        <v>44685.0</v>
      </c>
      <c r="B640" s="66">
        <v>2352.0</v>
      </c>
      <c r="C640" s="66">
        <v>1.0</v>
      </c>
      <c r="D640" s="66" t="s">
        <v>204</v>
      </c>
      <c r="E640" s="66">
        <v>1.0</v>
      </c>
      <c r="F640" s="66">
        <v>0.2255</v>
      </c>
      <c r="G640" s="66">
        <v>0.1136</v>
      </c>
      <c r="I640" s="81">
        <f t="shared" si="1"/>
        <v>0.9850352113</v>
      </c>
      <c r="J640" s="81">
        <f t="shared" si="2"/>
        <v>0.5037694013</v>
      </c>
    </row>
    <row r="641">
      <c r="A641" s="82">
        <v>44685.0</v>
      </c>
      <c r="B641" s="66">
        <v>2352.0</v>
      </c>
      <c r="C641" s="66">
        <v>2.0</v>
      </c>
      <c r="D641" s="66" t="s">
        <v>205</v>
      </c>
      <c r="E641" s="66">
        <v>1.0</v>
      </c>
      <c r="F641" s="66">
        <v>2.6184</v>
      </c>
      <c r="G641" s="66">
        <v>1.3187</v>
      </c>
      <c r="H641" s="66" t="s">
        <v>226</v>
      </c>
      <c r="I641" s="81">
        <f t="shared" si="1"/>
        <v>0.9855918708</v>
      </c>
      <c r="J641" s="81">
        <f t="shared" si="2"/>
        <v>0.5036281699</v>
      </c>
    </row>
    <row r="642">
      <c r="A642" s="82">
        <v>44685.0</v>
      </c>
      <c r="B642" s="66">
        <v>2352.0</v>
      </c>
      <c r="C642" s="66">
        <v>2.0</v>
      </c>
      <c r="D642" s="66" t="s">
        <v>204</v>
      </c>
      <c r="E642" s="66">
        <v>1.0</v>
      </c>
      <c r="F642" s="66">
        <v>0.5064</v>
      </c>
      <c r="G642" s="66">
        <v>0.255</v>
      </c>
      <c r="I642" s="81">
        <f t="shared" si="1"/>
        <v>0.9858823529</v>
      </c>
      <c r="J642" s="81">
        <f t="shared" si="2"/>
        <v>0.5035545024</v>
      </c>
    </row>
    <row r="643">
      <c r="A643" s="82">
        <v>44685.0</v>
      </c>
      <c r="B643" s="66">
        <v>2352.0</v>
      </c>
      <c r="C643" s="66">
        <v>3.0</v>
      </c>
      <c r="D643" s="66" t="s">
        <v>205</v>
      </c>
      <c r="E643" s="66">
        <v>1.0</v>
      </c>
      <c r="F643" s="66">
        <v>0.5064</v>
      </c>
      <c r="G643" s="66">
        <v>0.255</v>
      </c>
      <c r="I643" s="81">
        <f t="shared" si="1"/>
        <v>0.9858823529</v>
      </c>
      <c r="J643" s="81">
        <f t="shared" si="2"/>
        <v>0.5035545024</v>
      </c>
    </row>
    <row r="644">
      <c r="A644" s="82">
        <v>44685.0</v>
      </c>
      <c r="B644" s="66">
        <v>2352.0</v>
      </c>
      <c r="C644" s="66">
        <v>3.0</v>
      </c>
      <c r="D644" s="66" t="s">
        <v>204</v>
      </c>
      <c r="E644" s="66">
        <v>0.0</v>
      </c>
      <c r="F644" s="66">
        <v>0.0775</v>
      </c>
      <c r="G644" s="66">
        <v>0.039</v>
      </c>
      <c r="H644" s="66" t="s">
        <v>227</v>
      </c>
      <c r="I644" s="81">
        <f t="shared" si="1"/>
        <v>0.9871794872</v>
      </c>
      <c r="J644" s="81">
        <f t="shared" si="2"/>
        <v>0.5032258065</v>
      </c>
    </row>
    <row r="645">
      <c r="A645" s="82">
        <v>44685.0</v>
      </c>
      <c r="B645" s="66">
        <v>2354.0</v>
      </c>
      <c r="C645" s="66">
        <v>1.0</v>
      </c>
      <c r="D645" s="66" t="s">
        <v>205</v>
      </c>
      <c r="E645" s="66">
        <v>0.0</v>
      </c>
      <c r="F645" s="66">
        <v>0.4017</v>
      </c>
      <c r="G645" s="66">
        <v>0.2021</v>
      </c>
      <c r="H645" s="66" t="s">
        <v>226</v>
      </c>
      <c r="I645" s="81">
        <f t="shared" si="1"/>
        <v>0.9876298862</v>
      </c>
      <c r="J645" s="81">
        <f t="shared" si="2"/>
        <v>0.503111775</v>
      </c>
    </row>
    <row r="646">
      <c r="A646" s="82">
        <v>44685.0</v>
      </c>
      <c r="B646" s="66">
        <v>2354.0</v>
      </c>
      <c r="C646" s="66">
        <v>1.0</v>
      </c>
      <c r="D646" s="66" t="s">
        <v>205</v>
      </c>
      <c r="E646" s="66">
        <v>1.0</v>
      </c>
      <c r="F646" s="66">
        <v>0.4995</v>
      </c>
      <c r="G646" s="66">
        <v>0.2513</v>
      </c>
      <c r="H646" s="66" t="s">
        <v>226</v>
      </c>
      <c r="I646" s="81">
        <f t="shared" si="1"/>
        <v>0.9876641464</v>
      </c>
      <c r="J646" s="81">
        <f t="shared" si="2"/>
        <v>0.5031031031</v>
      </c>
    </row>
    <row r="647">
      <c r="A647" s="82">
        <v>44685.0</v>
      </c>
      <c r="B647" s="66">
        <v>2354.0</v>
      </c>
      <c r="C647" s="66">
        <v>1.0</v>
      </c>
      <c r="D647" s="66" t="s">
        <v>204</v>
      </c>
      <c r="E647" s="66">
        <v>0.0</v>
      </c>
      <c r="F647" s="66">
        <v>1.4272</v>
      </c>
      <c r="G647" s="66">
        <v>0.718</v>
      </c>
      <c r="H647" s="66" t="s">
        <v>227</v>
      </c>
      <c r="I647" s="81">
        <f t="shared" si="1"/>
        <v>0.9877437326</v>
      </c>
      <c r="J647" s="81">
        <f t="shared" si="2"/>
        <v>0.5030829596</v>
      </c>
    </row>
    <row r="648">
      <c r="A648" s="82">
        <v>44685.0</v>
      </c>
      <c r="B648" s="66">
        <v>2354.0</v>
      </c>
      <c r="C648" s="66">
        <v>1.0</v>
      </c>
      <c r="D648" s="66" t="s">
        <v>204</v>
      </c>
      <c r="E648" s="66">
        <v>1.0</v>
      </c>
      <c r="F648" s="66">
        <v>0.165</v>
      </c>
      <c r="G648" s="66">
        <v>0.083</v>
      </c>
      <c r="H648" s="66" t="s">
        <v>227</v>
      </c>
      <c r="I648" s="81">
        <f t="shared" si="1"/>
        <v>0.9879518072</v>
      </c>
      <c r="J648" s="81">
        <f t="shared" si="2"/>
        <v>0.503030303</v>
      </c>
    </row>
    <row r="649">
      <c r="A649" s="82">
        <v>44685.0</v>
      </c>
      <c r="B649" s="66">
        <v>2354.0</v>
      </c>
      <c r="C649" s="66">
        <v>2.0</v>
      </c>
      <c r="D649" s="66" t="s">
        <v>205</v>
      </c>
      <c r="E649" s="66">
        <v>0.0</v>
      </c>
      <c r="F649" s="66">
        <v>0.2424</v>
      </c>
      <c r="G649" s="66">
        <v>0.1219</v>
      </c>
      <c r="I649" s="81">
        <f t="shared" si="1"/>
        <v>0.9885151764</v>
      </c>
      <c r="J649" s="81">
        <f t="shared" si="2"/>
        <v>0.5028877888</v>
      </c>
    </row>
    <row r="650">
      <c r="A650" s="82">
        <v>44685.0</v>
      </c>
      <c r="B650" s="66">
        <v>2354.0</v>
      </c>
      <c r="C650" s="66">
        <v>2.0</v>
      </c>
      <c r="D650" s="66" t="s">
        <v>205</v>
      </c>
      <c r="E650" s="66">
        <v>1.0</v>
      </c>
      <c r="F650" s="66">
        <v>0.8929</v>
      </c>
      <c r="G650" s="66">
        <v>0.449</v>
      </c>
      <c r="I650" s="81">
        <f t="shared" si="1"/>
        <v>0.9886414254</v>
      </c>
      <c r="J650" s="81">
        <f t="shared" si="2"/>
        <v>0.5028558629</v>
      </c>
    </row>
    <row r="651">
      <c r="A651" s="82">
        <v>44685.0</v>
      </c>
      <c r="B651" s="66">
        <v>2354.0</v>
      </c>
      <c r="C651" s="66">
        <v>2.0</v>
      </c>
      <c r="D651" s="66" t="s">
        <v>204</v>
      </c>
      <c r="E651" s="66">
        <v>0.0</v>
      </c>
      <c r="F651" s="66">
        <v>0.2391</v>
      </c>
      <c r="G651" s="66">
        <v>0.1202</v>
      </c>
      <c r="H651" s="66" t="s">
        <v>230</v>
      </c>
      <c r="I651" s="81">
        <f t="shared" si="1"/>
        <v>0.9891846922</v>
      </c>
      <c r="J651" s="81">
        <f t="shared" si="2"/>
        <v>0.5027185278</v>
      </c>
    </row>
    <row r="652">
      <c r="A652" s="82">
        <v>44685.0</v>
      </c>
      <c r="B652" s="66">
        <v>2354.0</v>
      </c>
      <c r="C652" s="66">
        <v>2.0</v>
      </c>
      <c r="D652" s="66" t="s">
        <v>204</v>
      </c>
      <c r="E652" s="66">
        <v>1.0</v>
      </c>
      <c r="F652" s="66">
        <v>0.1711</v>
      </c>
      <c r="G652" s="66">
        <v>0.086</v>
      </c>
      <c r="I652" s="81">
        <f t="shared" si="1"/>
        <v>0.9895348837</v>
      </c>
      <c r="J652" s="81">
        <f t="shared" si="2"/>
        <v>0.5026300409</v>
      </c>
    </row>
    <row r="653">
      <c r="A653" s="82">
        <v>44685.0</v>
      </c>
      <c r="B653" s="66">
        <v>2354.0</v>
      </c>
      <c r="C653" s="66">
        <v>3.0</v>
      </c>
      <c r="D653" s="66" t="s">
        <v>205</v>
      </c>
      <c r="E653" s="66">
        <v>0.0</v>
      </c>
      <c r="F653" s="66">
        <v>1.9161</v>
      </c>
      <c r="G653" s="66">
        <v>0.963</v>
      </c>
      <c r="I653" s="81">
        <f t="shared" si="1"/>
        <v>0.9897196262</v>
      </c>
      <c r="J653" s="81">
        <f t="shared" si="2"/>
        <v>0.5025833725</v>
      </c>
    </row>
    <row r="654">
      <c r="A654" s="82">
        <v>44685.0</v>
      </c>
      <c r="B654" s="66">
        <v>2354.0</v>
      </c>
      <c r="C654" s="66">
        <v>3.0</v>
      </c>
      <c r="D654" s="66" t="s">
        <v>205</v>
      </c>
      <c r="E654" s="66">
        <v>1.0</v>
      </c>
      <c r="F654" s="66">
        <v>0.1254</v>
      </c>
      <c r="G654" s="66">
        <v>0.063</v>
      </c>
      <c r="I654" s="81">
        <f t="shared" si="1"/>
        <v>0.9904761905</v>
      </c>
      <c r="J654" s="81">
        <f t="shared" si="2"/>
        <v>0.5023923445</v>
      </c>
    </row>
    <row r="655">
      <c r="A655" s="82">
        <v>44685.0</v>
      </c>
      <c r="B655" s="66">
        <v>2354.0</v>
      </c>
      <c r="C655" s="66">
        <v>3.0</v>
      </c>
      <c r="D655" s="66" t="s">
        <v>204</v>
      </c>
      <c r="E655" s="66">
        <v>0.0</v>
      </c>
      <c r="F655" s="66">
        <v>0.0635</v>
      </c>
      <c r="G655" s="66">
        <v>0.0319</v>
      </c>
      <c r="I655" s="81">
        <f t="shared" si="1"/>
        <v>0.9905956113</v>
      </c>
      <c r="J655" s="81">
        <f t="shared" si="2"/>
        <v>0.5023622047</v>
      </c>
    </row>
    <row r="656">
      <c r="A656" s="82">
        <v>44685.0</v>
      </c>
      <c r="B656" s="66">
        <v>2354.0</v>
      </c>
      <c r="C656" s="66">
        <v>3.0</v>
      </c>
      <c r="D656" s="66" t="s">
        <v>204</v>
      </c>
      <c r="E656" s="66">
        <v>1.0</v>
      </c>
      <c r="F656" s="66">
        <v>1.117</v>
      </c>
      <c r="G656" s="66">
        <v>0.561</v>
      </c>
      <c r="H656" s="66" t="s">
        <v>227</v>
      </c>
      <c r="I656" s="81">
        <f t="shared" si="1"/>
        <v>0.991087344</v>
      </c>
      <c r="J656" s="81">
        <f t="shared" si="2"/>
        <v>0.5022381379</v>
      </c>
    </row>
    <row r="657">
      <c r="A657" s="82">
        <v>44685.0</v>
      </c>
      <c r="B657" s="66">
        <v>2360.0</v>
      </c>
      <c r="C657" s="66">
        <v>1.0</v>
      </c>
      <c r="D657" s="66" t="s">
        <v>205</v>
      </c>
      <c r="E657" s="66">
        <v>0.0</v>
      </c>
      <c r="F657" s="66">
        <v>0.225</v>
      </c>
      <c r="G657" s="66">
        <v>0.113</v>
      </c>
      <c r="H657" s="66" t="s">
        <v>227</v>
      </c>
      <c r="I657" s="81">
        <f t="shared" si="1"/>
        <v>0.9911504425</v>
      </c>
      <c r="J657" s="81">
        <f t="shared" si="2"/>
        <v>0.5022222222</v>
      </c>
    </row>
    <row r="658">
      <c r="A658" s="82">
        <v>44685.0</v>
      </c>
      <c r="B658" s="66">
        <v>2360.0</v>
      </c>
      <c r="C658" s="66">
        <v>1.0</v>
      </c>
      <c r="D658" s="66" t="s">
        <v>204</v>
      </c>
      <c r="E658" s="66">
        <v>0.0</v>
      </c>
      <c r="F658" s="66">
        <v>0.6512</v>
      </c>
      <c r="G658" s="66">
        <v>0.327</v>
      </c>
      <c r="H658" s="66" t="s">
        <v>227</v>
      </c>
      <c r="I658" s="81">
        <f t="shared" si="1"/>
        <v>0.9914373089</v>
      </c>
      <c r="J658" s="81">
        <f t="shared" si="2"/>
        <v>0.5021498771</v>
      </c>
    </row>
    <row r="659">
      <c r="A659" s="82">
        <v>44685.0</v>
      </c>
      <c r="B659" s="66">
        <v>2360.0</v>
      </c>
      <c r="C659" s="66">
        <v>1.0</v>
      </c>
      <c r="D659" s="66" t="s">
        <v>204</v>
      </c>
      <c r="E659" s="66">
        <v>1.0</v>
      </c>
      <c r="F659" s="66">
        <v>0.2099</v>
      </c>
      <c r="G659" s="66">
        <v>0.1054</v>
      </c>
      <c r="H659" s="66" t="s">
        <v>230</v>
      </c>
      <c r="I659" s="81">
        <f t="shared" si="1"/>
        <v>0.9914611006</v>
      </c>
      <c r="J659" s="81">
        <f t="shared" si="2"/>
        <v>0.502143878</v>
      </c>
    </row>
    <row r="660">
      <c r="A660" s="82">
        <v>44685.0</v>
      </c>
      <c r="B660" s="66">
        <v>2360.0</v>
      </c>
      <c r="C660" s="66">
        <v>2.0</v>
      </c>
      <c r="D660" s="66" t="s">
        <v>205</v>
      </c>
      <c r="E660" s="66">
        <v>0.0</v>
      </c>
      <c r="F660" s="66">
        <v>0.3076</v>
      </c>
      <c r="G660" s="66">
        <v>0.1544</v>
      </c>
      <c r="H660" s="66" t="s">
        <v>226</v>
      </c>
      <c r="I660" s="81">
        <f t="shared" si="1"/>
        <v>0.9922279793</v>
      </c>
      <c r="J660" s="81">
        <f t="shared" si="2"/>
        <v>0.5019505852</v>
      </c>
    </row>
    <row r="661">
      <c r="A661" s="82">
        <v>44685.0</v>
      </c>
      <c r="B661" s="66">
        <v>2360.0</v>
      </c>
      <c r="C661" s="66">
        <v>2.0</v>
      </c>
      <c r="D661" s="66" t="s">
        <v>204</v>
      </c>
      <c r="E661" s="66">
        <v>0.0</v>
      </c>
      <c r="F661" s="66">
        <v>0.3603</v>
      </c>
      <c r="G661" s="66">
        <v>0.1808</v>
      </c>
      <c r="H661" s="66" t="s">
        <v>230</v>
      </c>
      <c r="I661" s="81">
        <f t="shared" si="1"/>
        <v>0.9928097345</v>
      </c>
      <c r="J661" s="81">
        <f t="shared" si="2"/>
        <v>0.5018040522</v>
      </c>
    </row>
    <row r="662">
      <c r="A662" s="82">
        <v>44685.0</v>
      </c>
      <c r="B662" s="66">
        <v>2360.0</v>
      </c>
      <c r="C662" s="66">
        <v>2.0</v>
      </c>
      <c r="D662" s="66" t="s">
        <v>204</v>
      </c>
      <c r="E662" s="66">
        <v>1.0</v>
      </c>
      <c r="F662" s="66">
        <v>0.123</v>
      </c>
      <c r="G662" s="66">
        <v>0.0617</v>
      </c>
      <c r="H662" s="66" t="s">
        <v>227</v>
      </c>
      <c r="I662" s="81">
        <f t="shared" si="1"/>
        <v>0.9935170178</v>
      </c>
      <c r="J662" s="81">
        <f t="shared" si="2"/>
        <v>0.5016260163</v>
      </c>
    </row>
    <row r="663">
      <c r="A663" s="82">
        <v>44685.0</v>
      </c>
      <c r="B663" s="66">
        <v>2360.0</v>
      </c>
      <c r="C663" s="66">
        <v>3.0</v>
      </c>
      <c r="D663" s="66" t="s">
        <v>205</v>
      </c>
      <c r="E663" s="66">
        <v>0.0</v>
      </c>
      <c r="F663" s="66">
        <v>0.0965</v>
      </c>
      <c r="G663" s="66">
        <v>0.0484</v>
      </c>
      <c r="H663" s="66" t="s">
        <v>227</v>
      </c>
      <c r="I663" s="81">
        <f t="shared" si="1"/>
        <v>0.9938016529</v>
      </c>
      <c r="J663" s="81">
        <f t="shared" si="2"/>
        <v>0.5015544041</v>
      </c>
    </row>
    <row r="664">
      <c r="A664" s="82">
        <v>44685.0</v>
      </c>
      <c r="B664" s="66">
        <v>2360.0</v>
      </c>
      <c r="C664" s="66">
        <v>3.0</v>
      </c>
      <c r="D664" s="66" t="s">
        <v>204</v>
      </c>
      <c r="E664" s="66">
        <v>0.0</v>
      </c>
      <c r="F664" s="66">
        <v>0.1386</v>
      </c>
      <c r="G664" s="66">
        <v>0.0695</v>
      </c>
      <c r="H664" s="66" t="s">
        <v>230</v>
      </c>
      <c r="I664" s="81">
        <f t="shared" si="1"/>
        <v>0.9942446043</v>
      </c>
      <c r="J664" s="81">
        <f t="shared" si="2"/>
        <v>0.5014430014</v>
      </c>
    </row>
    <row r="665">
      <c r="A665" s="82">
        <v>44685.0</v>
      </c>
      <c r="B665" s="66">
        <v>2360.0</v>
      </c>
      <c r="C665" s="66">
        <v>3.0</v>
      </c>
      <c r="D665" s="66" t="s">
        <v>204</v>
      </c>
      <c r="E665" s="66">
        <v>1.0</v>
      </c>
      <c r="F665" s="66">
        <v>0.359</v>
      </c>
      <c r="G665" s="66">
        <v>0.18</v>
      </c>
      <c r="H665" s="66" t="s">
        <v>229</v>
      </c>
      <c r="I665" s="81">
        <f t="shared" si="1"/>
        <v>0.9944444444</v>
      </c>
      <c r="J665" s="81">
        <f t="shared" si="2"/>
        <v>0.5013927577</v>
      </c>
    </row>
    <row r="666">
      <c r="A666" s="82">
        <v>44685.0</v>
      </c>
      <c r="B666" s="66">
        <v>2365.0</v>
      </c>
      <c r="C666" s="66">
        <v>1.0</v>
      </c>
      <c r="D666" s="66" t="s">
        <v>205</v>
      </c>
      <c r="E666" s="66">
        <v>0.0</v>
      </c>
      <c r="F666" s="66">
        <v>0.3521</v>
      </c>
      <c r="G666" s="66">
        <v>0.1765</v>
      </c>
      <c r="I666" s="81">
        <f t="shared" si="1"/>
        <v>0.9949008499</v>
      </c>
      <c r="J666" s="81">
        <f t="shared" si="2"/>
        <v>0.501278046</v>
      </c>
    </row>
    <row r="667">
      <c r="A667" s="82">
        <v>44685.0</v>
      </c>
      <c r="B667" s="66">
        <v>2370.0</v>
      </c>
      <c r="C667" s="66">
        <v>1.0</v>
      </c>
      <c r="D667" s="66" t="s">
        <v>205</v>
      </c>
      <c r="E667" s="66">
        <v>0.0</v>
      </c>
      <c r="F667" s="66">
        <v>1.2379</v>
      </c>
      <c r="G667" s="66">
        <v>0.6205</v>
      </c>
      <c r="I667" s="81">
        <f t="shared" si="1"/>
        <v>0.995004029</v>
      </c>
      <c r="J667" s="81">
        <f t="shared" si="2"/>
        <v>0.5012521205</v>
      </c>
    </row>
    <row r="668">
      <c r="A668" s="82">
        <v>44685.0</v>
      </c>
      <c r="B668" s="66">
        <v>2370.0</v>
      </c>
      <c r="C668" s="66">
        <v>1.0</v>
      </c>
      <c r="D668" s="66" t="s">
        <v>204</v>
      </c>
      <c r="E668" s="66">
        <v>0.0</v>
      </c>
      <c r="F668" s="66">
        <v>0.2436</v>
      </c>
      <c r="G668" s="66">
        <v>0.1221</v>
      </c>
      <c r="I668" s="81">
        <f t="shared" si="1"/>
        <v>0.9950859951</v>
      </c>
      <c r="J668" s="81">
        <f t="shared" si="2"/>
        <v>0.5012315271</v>
      </c>
    </row>
    <row r="669">
      <c r="A669" s="82">
        <v>44685.0</v>
      </c>
      <c r="B669" s="66">
        <v>2370.0</v>
      </c>
      <c r="C669" s="66">
        <v>1.0</v>
      </c>
      <c r="D669" s="66" t="s">
        <v>204</v>
      </c>
      <c r="E669" s="66">
        <v>1.0</v>
      </c>
      <c r="F669" s="66">
        <v>0.3053</v>
      </c>
      <c r="G669" s="66">
        <v>0.153</v>
      </c>
      <c r="I669" s="81">
        <f t="shared" si="1"/>
        <v>0.9954248366</v>
      </c>
      <c r="J669" s="81">
        <f t="shared" si="2"/>
        <v>0.5011464134</v>
      </c>
    </row>
    <row r="670">
      <c r="A670" s="82">
        <v>44685.0</v>
      </c>
      <c r="B670" s="66">
        <v>2370.0</v>
      </c>
      <c r="C670" s="66">
        <v>2.0</v>
      </c>
      <c r="D670" s="66" t="s">
        <v>205</v>
      </c>
      <c r="E670" s="66">
        <v>0.0</v>
      </c>
      <c r="F670" s="66">
        <v>0.2255</v>
      </c>
      <c r="G670" s="66">
        <v>0.113</v>
      </c>
      <c r="H670" s="66" t="s">
        <v>227</v>
      </c>
      <c r="I670" s="81">
        <f t="shared" si="1"/>
        <v>0.9955752212</v>
      </c>
      <c r="J670" s="81">
        <f t="shared" si="2"/>
        <v>0.5011086475</v>
      </c>
    </row>
    <row r="671">
      <c r="A671" s="82">
        <v>44685.0</v>
      </c>
      <c r="B671" s="66">
        <v>2370.0</v>
      </c>
      <c r="C671" s="66">
        <v>2.0</v>
      </c>
      <c r="D671" s="66" t="s">
        <v>204</v>
      </c>
      <c r="E671" s="66">
        <v>0.0</v>
      </c>
      <c r="F671" s="66">
        <v>0.0938</v>
      </c>
      <c r="G671" s="66">
        <v>0.047</v>
      </c>
      <c r="I671" s="81">
        <f t="shared" si="1"/>
        <v>0.9957446809</v>
      </c>
      <c r="J671" s="81">
        <f t="shared" si="2"/>
        <v>0.5010660981</v>
      </c>
    </row>
    <row r="672">
      <c r="A672" s="82">
        <v>44685.0</v>
      </c>
      <c r="B672" s="66">
        <v>2370.0</v>
      </c>
      <c r="C672" s="66">
        <v>2.0</v>
      </c>
      <c r="D672" s="66" t="s">
        <v>204</v>
      </c>
      <c r="E672" s="66">
        <v>1.0</v>
      </c>
      <c r="F672" s="66">
        <v>0.1942</v>
      </c>
      <c r="G672" s="66">
        <v>0.0973</v>
      </c>
      <c r="H672" s="66" t="s">
        <v>226</v>
      </c>
      <c r="I672" s="81">
        <f t="shared" si="1"/>
        <v>0.9958890031</v>
      </c>
      <c r="J672" s="81">
        <f t="shared" si="2"/>
        <v>0.5010298661</v>
      </c>
    </row>
    <row r="673">
      <c r="A673" s="82">
        <v>44685.0</v>
      </c>
      <c r="B673" s="66">
        <v>2370.0</v>
      </c>
      <c r="C673" s="66">
        <v>3.0</v>
      </c>
      <c r="D673" s="66" t="s">
        <v>205</v>
      </c>
      <c r="E673" s="66">
        <v>0.0</v>
      </c>
      <c r="F673" s="66">
        <v>1.837</v>
      </c>
      <c r="G673" s="66">
        <v>0.92</v>
      </c>
      <c r="I673" s="81">
        <f t="shared" si="1"/>
        <v>0.9967391304</v>
      </c>
      <c r="J673" s="81">
        <f t="shared" si="2"/>
        <v>0.5008165487</v>
      </c>
    </row>
    <row r="674">
      <c r="A674" s="82">
        <v>44685.0</v>
      </c>
      <c r="B674" s="66">
        <v>2370.0</v>
      </c>
      <c r="C674" s="66">
        <v>3.0</v>
      </c>
      <c r="D674" s="66" t="s">
        <v>204</v>
      </c>
      <c r="E674" s="66">
        <v>0.0</v>
      </c>
      <c r="F674" s="66">
        <v>0.3115</v>
      </c>
      <c r="G674" s="66">
        <v>0.156</v>
      </c>
      <c r="I674" s="81">
        <f t="shared" si="1"/>
        <v>0.9967948718</v>
      </c>
      <c r="J674" s="81">
        <f t="shared" si="2"/>
        <v>0.5008025682</v>
      </c>
    </row>
    <row r="675">
      <c r="A675" s="82">
        <v>44685.0</v>
      </c>
      <c r="B675" s="66">
        <v>2370.0</v>
      </c>
      <c r="C675" s="66">
        <v>3.0</v>
      </c>
      <c r="D675" s="66" t="s">
        <v>204</v>
      </c>
      <c r="E675" s="66">
        <v>1.0</v>
      </c>
      <c r="F675" s="66">
        <v>0.0677</v>
      </c>
      <c r="G675" s="66">
        <v>0.0339</v>
      </c>
      <c r="H675" s="66" t="s">
        <v>226</v>
      </c>
      <c r="I675" s="81">
        <f t="shared" si="1"/>
        <v>0.9970501475</v>
      </c>
      <c r="J675" s="81">
        <f t="shared" si="2"/>
        <v>0.5007385524</v>
      </c>
    </row>
    <row r="676">
      <c r="A676" s="82">
        <v>44685.0</v>
      </c>
      <c r="B676" s="66">
        <v>2371.0</v>
      </c>
      <c r="C676" s="66">
        <v>1.0</v>
      </c>
      <c r="D676" s="66" t="s">
        <v>205</v>
      </c>
      <c r="E676" s="66">
        <v>0.0</v>
      </c>
      <c r="F676" s="66">
        <v>1.1032</v>
      </c>
      <c r="G676" s="66">
        <v>0.5524</v>
      </c>
      <c r="H676" s="66" t="s">
        <v>230</v>
      </c>
      <c r="I676" s="81">
        <f t="shared" si="1"/>
        <v>0.9971035482</v>
      </c>
      <c r="J676" s="81">
        <f t="shared" si="2"/>
        <v>0.5007251632</v>
      </c>
    </row>
    <row r="677">
      <c r="A677" s="82">
        <v>44685.0</v>
      </c>
      <c r="B677" s="66">
        <v>2371.0</v>
      </c>
      <c r="C677" s="66">
        <v>1.0</v>
      </c>
      <c r="D677" s="66" t="s">
        <v>204</v>
      </c>
      <c r="E677" s="66">
        <v>0.0</v>
      </c>
      <c r="F677" s="66">
        <v>1.9952</v>
      </c>
      <c r="G677" s="66">
        <v>0.9981</v>
      </c>
      <c r="I677" s="81">
        <f t="shared" si="1"/>
        <v>0.9989980964</v>
      </c>
      <c r="J677" s="81">
        <f t="shared" si="2"/>
        <v>0.5002506014</v>
      </c>
    </row>
    <row r="678">
      <c r="A678" s="82">
        <v>44685.0</v>
      </c>
      <c r="B678" s="66">
        <v>2371.0</v>
      </c>
      <c r="C678" s="66">
        <v>2.0</v>
      </c>
      <c r="D678" s="66" t="s">
        <v>205</v>
      </c>
      <c r="E678" s="66">
        <v>0.0</v>
      </c>
      <c r="F678" s="66">
        <v>0.4823</v>
      </c>
      <c r="G678" s="66">
        <v>0.2412</v>
      </c>
      <c r="I678" s="81">
        <f t="shared" si="1"/>
        <v>0.9995854063</v>
      </c>
      <c r="J678" s="81">
        <f t="shared" si="2"/>
        <v>0.5001036699</v>
      </c>
    </row>
    <row r="679">
      <c r="A679" s="82">
        <v>44685.0</v>
      </c>
      <c r="B679" s="66">
        <v>2371.0</v>
      </c>
      <c r="C679" s="66">
        <v>2.0</v>
      </c>
      <c r="D679" s="66" t="s">
        <v>204</v>
      </c>
      <c r="E679" s="66">
        <v>0.0</v>
      </c>
      <c r="F679" s="66">
        <v>0.982</v>
      </c>
      <c r="G679" s="66">
        <v>0.491</v>
      </c>
      <c r="H679" s="66" t="s">
        <v>232</v>
      </c>
      <c r="I679" s="81">
        <f t="shared" si="1"/>
        <v>1</v>
      </c>
      <c r="J679" s="81">
        <f t="shared" si="2"/>
        <v>0.5</v>
      </c>
    </row>
    <row r="680">
      <c r="A680" s="82">
        <v>44685.0</v>
      </c>
      <c r="B680" s="66">
        <v>2371.0</v>
      </c>
      <c r="C680" s="66">
        <v>2.0</v>
      </c>
      <c r="D680" s="66" t="s">
        <v>204</v>
      </c>
      <c r="E680" s="66">
        <v>1.0</v>
      </c>
      <c r="F680" s="66">
        <v>0.094</v>
      </c>
      <c r="G680" s="66">
        <v>0.047</v>
      </c>
      <c r="H680" s="66" t="s">
        <v>229</v>
      </c>
      <c r="I680" s="81">
        <f t="shared" si="1"/>
        <v>1</v>
      </c>
      <c r="J680" s="81">
        <f t="shared" si="2"/>
        <v>0.5</v>
      </c>
    </row>
    <row r="681">
      <c r="A681" s="82">
        <v>44685.0</v>
      </c>
      <c r="B681" s="66">
        <v>2371.0</v>
      </c>
      <c r="C681" s="66">
        <v>2.0</v>
      </c>
      <c r="D681" s="66" t="s">
        <v>204</v>
      </c>
      <c r="E681" s="66">
        <v>1.0</v>
      </c>
      <c r="F681" s="66">
        <v>0.8622</v>
      </c>
      <c r="G681" s="66">
        <v>0.4311</v>
      </c>
      <c r="H681" s="66" t="s">
        <v>230</v>
      </c>
      <c r="I681" s="81">
        <f t="shared" si="1"/>
        <v>1</v>
      </c>
      <c r="J681" s="81">
        <f t="shared" si="2"/>
        <v>0.5</v>
      </c>
    </row>
    <row r="682">
      <c r="A682" s="82">
        <v>44685.0</v>
      </c>
      <c r="B682" s="66">
        <v>2371.0</v>
      </c>
      <c r="C682" s="66">
        <v>3.0</v>
      </c>
      <c r="D682" s="66" t="s">
        <v>205</v>
      </c>
      <c r="E682" s="66">
        <v>0.0</v>
      </c>
      <c r="F682" s="66">
        <v>0.258</v>
      </c>
      <c r="G682" s="66">
        <v>0.129</v>
      </c>
      <c r="I682" s="81">
        <f t="shared" si="1"/>
        <v>1</v>
      </c>
      <c r="J682" s="81">
        <f t="shared" si="2"/>
        <v>0.5</v>
      </c>
    </row>
    <row r="683">
      <c r="A683" s="82">
        <v>44685.0</v>
      </c>
      <c r="B683" s="66">
        <v>2371.0</v>
      </c>
      <c r="C683" s="66">
        <v>3.0</v>
      </c>
      <c r="D683" s="66" t="s">
        <v>204</v>
      </c>
      <c r="E683" s="66">
        <v>0.0</v>
      </c>
      <c r="F683" s="66">
        <v>0.116</v>
      </c>
      <c r="G683" s="66">
        <v>0.058</v>
      </c>
      <c r="I683" s="81">
        <f t="shared" si="1"/>
        <v>1</v>
      </c>
      <c r="J683" s="81">
        <f t="shared" si="2"/>
        <v>0.5</v>
      </c>
    </row>
    <row r="684">
      <c r="A684" s="82">
        <v>44685.0</v>
      </c>
      <c r="B684" s="66">
        <v>2371.0</v>
      </c>
      <c r="C684" s="66">
        <v>3.0</v>
      </c>
      <c r="D684" s="66" t="s">
        <v>204</v>
      </c>
      <c r="E684" s="66">
        <v>1.0</v>
      </c>
      <c r="F684" s="66">
        <v>0.074</v>
      </c>
      <c r="G684" s="66">
        <v>0.037</v>
      </c>
      <c r="I684" s="81">
        <f t="shared" si="1"/>
        <v>1</v>
      </c>
      <c r="J684" s="81">
        <f t="shared" si="2"/>
        <v>0.5</v>
      </c>
    </row>
    <row r="685">
      <c r="A685" s="82">
        <v>44685.0</v>
      </c>
      <c r="B685" s="66">
        <v>2372.0</v>
      </c>
      <c r="C685" s="66">
        <v>1.0</v>
      </c>
      <c r="D685" s="66" t="s">
        <v>205</v>
      </c>
      <c r="E685" s="66">
        <v>0.0</v>
      </c>
      <c r="F685" s="66">
        <v>1.722</v>
      </c>
      <c r="G685" s="66">
        <v>0.861</v>
      </c>
      <c r="H685" s="66" t="s">
        <v>227</v>
      </c>
      <c r="I685" s="81">
        <f t="shared" si="1"/>
        <v>1</v>
      </c>
      <c r="J685" s="81">
        <f t="shared" si="2"/>
        <v>0.5</v>
      </c>
    </row>
    <row r="686">
      <c r="A686" s="82">
        <v>44685.0</v>
      </c>
      <c r="B686" s="66">
        <v>2372.0</v>
      </c>
      <c r="C686" s="66">
        <v>1.0</v>
      </c>
      <c r="D686" s="66" t="s">
        <v>204</v>
      </c>
      <c r="E686" s="66">
        <v>0.0</v>
      </c>
      <c r="F686" s="66">
        <v>0.058</v>
      </c>
      <c r="G686" s="66">
        <v>0.029</v>
      </c>
      <c r="H686" s="66" t="s">
        <v>227</v>
      </c>
      <c r="I686" s="81">
        <f t="shared" si="1"/>
        <v>1</v>
      </c>
      <c r="J686" s="81">
        <f t="shared" si="2"/>
        <v>0.5</v>
      </c>
    </row>
    <row r="687">
      <c r="A687" s="82">
        <v>44685.0</v>
      </c>
      <c r="B687" s="66">
        <v>2372.0</v>
      </c>
      <c r="C687" s="66">
        <v>1.0</v>
      </c>
      <c r="D687" s="66" t="s">
        <v>204</v>
      </c>
      <c r="E687" s="66">
        <v>1.0</v>
      </c>
      <c r="F687" s="66">
        <v>0.062</v>
      </c>
      <c r="G687" s="66">
        <v>0.031</v>
      </c>
      <c r="H687" s="66" t="s">
        <v>227</v>
      </c>
      <c r="I687" s="81">
        <f t="shared" si="1"/>
        <v>1</v>
      </c>
      <c r="J687" s="81">
        <f t="shared" si="2"/>
        <v>0.5</v>
      </c>
    </row>
    <row r="688">
      <c r="A688" s="82">
        <v>44685.0</v>
      </c>
      <c r="B688" s="66">
        <v>2372.0</v>
      </c>
      <c r="C688" s="66">
        <v>2.0</v>
      </c>
      <c r="D688" s="66" t="s">
        <v>205</v>
      </c>
      <c r="E688" s="66">
        <v>0.0</v>
      </c>
      <c r="F688" s="66">
        <v>0.3473</v>
      </c>
      <c r="G688" s="66">
        <v>0.1736</v>
      </c>
      <c r="I688" s="81">
        <f t="shared" si="1"/>
        <v>1.000576037</v>
      </c>
      <c r="J688" s="81">
        <f t="shared" si="2"/>
        <v>0.4998560322</v>
      </c>
    </row>
    <row r="689">
      <c r="A689" s="82">
        <v>44685.0</v>
      </c>
      <c r="B689" s="66">
        <v>2372.0</v>
      </c>
      <c r="C689" s="66">
        <v>2.0</v>
      </c>
      <c r="D689" s="66" t="s">
        <v>204</v>
      </c>
      <c r="E689" s="66">
        <v>0.0</v>
      </c>
      <c r="F689" s="66">
        <v>0.1401</v>
      </c>
      <c r="G689" s="66">
        <v>0.07</v>
      </c>
      <c r="I689" s="81">
        <f t="shared" si="1"/>
        <v>1.001428571</v>
      </c>
      <c r="J689" s="81">
        <f t="shared" si="2"/>
        <v>0.4996431121</v>
      </c>
    </row>
    <row r="690">
      <c r="A690" s="82">
        <v>44685.0</v>
      </c>
      <c r="B690" s="66">
        <v>2372.0</v>
      </c>
      <c r="C690" s="66">
        <v>2.0</v>
      </c>
      <c r="D690" s="66" t="s">
        <v>204</v>
      </c>
      <c r="E690" s="66">
        <v>1.0</v>
      </c>
      <c r="F690" s="66">
        <v>0.675</v>
      </c>
      <c r="G690" s="66">
        <v>0.3369</v>
      </c>
      <c r="H690" s="66" t="s">
        <v>226</v>
      </c>
      <c r="I690" s="81">
        <f t="shared" si="1"/>
        <v>1.003561888</v>
      </c>
      <c r="J690" s="81">
        <f t="shared" si="2"/>
        <v>0.4991111111</v>
      </c>
    </row>
    <row r="691">
      <c r="A691" s="82">
        <v>44685.0</v>
      </c>
      <c r="B691" s="66">
        <v>2372.0</v>
      </c>
      <c r="C691" s="66">
        <v>3.0</v>
      </c>
      <c r="D691" s="66" t="s">
        <v>205</v>
      </c>
      <c r="E691" s="66">
        <v>0.0</v>
      </c>
      <c r="F691" s="66">
        <v>1.4021</v>
      </c>
      <c r="G691" s="66">
        <v>0.6997</v>
      </c>
      <c r="I691" s="81">
        <f t="shared" si="1"/>
        <v>1.003858797</v>
      </c>
      <c r="J691" s="81">
        <f t="shared" si="2"/>
        <v>0.4990371585</v>
      </c>
    </row>
    <row r="692">
      <c r="A692" s="82">
        <v>44685.0</v>
      </c>
      <c r="B692" s="66">
        <v>2372.0</v>
      </c>
      <c r="C692" s="66">
        <v>3.0</v>
      </c>
      <c r="D692" s="66" t="s">
        <v>204</v>
      </c>
      <c r="E692" s="66">
        <v>0.0</v>
      </c>
      <c r="F692" s="66">
        <v>0.307</v>
      </c>
      <c r="G692" s="66">
        <v>0.1532</v>
      </c>
      <c r="H692" s="66" t="s">
        <v>226</v>
      </c>
      <c r="I692" s="81">
        <f t="shared" si="1"/>
        <v>1.003916449</v>
      </c>
      <c r="J692" s="81">
        <f t="shared" si="2"/>
        <v>0.4990228013</v>
      </c>
    </row>
    <row r="693">
      <c r="A693" s="82">
        <v>44685.0</v>
      </c>
      <c r="B693" s="66">
        <v>2372.0</v>
      </c>
      <c r="C693" s="66">
        <v>3.0</v>
      </c>
      <c r="D693" s="66" t="s">
        <v>204</v>
      </c>
      <c r="E693" s="66">
        <v>1.0</v>
      </c>
      <c r="F693" s="66">
        <v>0.3273</v>
      </c>
      <c r="G693" s="66">
        <v>0.1633</v>
      </c>
      <c r="I693" s="81">
        <f t="shared" si="1"/>
        <v>1.004286589</v>
      </c>
      <c r="J693" s="81">
        <f t="shared" si="2"/>
        <v>0.4989306447</v>
      </c>
    </row>
    <row r="694">
      <c r="A694" s="82">
        <v>44685.0</v>
      </c>
      <c r="B694" s="66">
        <v>2375.0</v>
      </c>
      <c r="C694" s="66">
        <v>1.0</v>
      </c>
      <c r="D694" s="66" t="s">
        <v>205</v>
      </c>
      <c r="E694" s="66">
        <v>0.0</v>
      </c>
      <c r="F694" s="66">
        <v>0.1239</v>
      </c>
      <c r="G694" s="66">
        <v>0.0618</v>
      </c>
      <c r="I694" s="81">
        <f t="shared" si="1"/>
        <v>1.004854369</v>
      </c>
      <c r="J694" s="81">
        <f t="shared" si="2"/>
        <v>0.4987893462</v>
      </c>
    </row>
    <row r="695">
      <c r="A695" s="82">
        <v>44685.0</v>
      </c>
      <c r="B695" s="66">
        <v>2375.0</v>
      </c>
      <c r="C695" s="66">
        <v>2.0</v>
      </c>
      <c r="D695" s="66" t="s">
        <v>205</v>
      </c>
      <c r="E695" s="66">
        <v>0.0</v>
      </c>
      <c r="F695" s="66">
        <v>0.4271</v>
      </c>
      <c r="G695" s="66">
        <v>0.213</v>
      </c>
      <c r="H695" s="66" t="s">
        <v>226</v>
      </c>
      <c r="I695" s="81">
        <f t="shared" si="1"/>
        <v>1.005164319</v>
      </c>
      <c r="J695" s="81">
        <f t="shared" si="2"/>
        <v>0.4987122454</v>
      </c>
    </row>
    <row r="696">
      <c r="A696" s="82">
        <v>44685.0</v>
      </c>
      <c r="B696" s="66">
        <v>2375.0</v>
      </c>
      <c r="C696" s="66">
        <v>2.0</v>
      </c>
      <c r="D696" s="66" t="s">
        <v>205</v>
      </c>
      <c r="E696" s="66">
        <v>0.0</v>
      </c>
      <c r="F696" s="66">
        <v>0.1504</v>
      </c>
      <c r="G696" s="66">
        <v>0.075</v>
      </c>
      <c r="H696" s="66" t="s">
        <v>227</v>
      </c>
      <c r="I696" s="81">
        <f t="shared" si="1"/>
        <v>1.005333333</v>
      </c>
      <c r="J696" s="81">
        <f t="shared" si="2"/>
        <v>0.4986702128</v>
      </c>
    </row>
    <row r="697">
      <c r="A697" s="82">
        <v>44685.0</v>
      </c>
      <c r="B697" s="66">
        <v>2375.0</v>
      </c>
      <c r="C697" s="66">
        <v>2.0</v>
      </c>
      <c r="D697" s="66" t="s">
        <v>204</v>
      </c>
      <c r="E697" s="66">
        <v>0.0</v>
      </c>
      <c r="F697" s="66">
        <v>0.9023</v>
      </c>
      <c r="G697" s="66">
        <v>0.4499</v>
      </c>
      <c r="H697" s="66" t="s">
        <v>226</v>
      </c>
      <c r="I697" s="81">
        <f t="shared" si="1"/>
        <v>1.00555679</v>
      </c>
      <c r="J697" s="81">
        <f t="shared" si="2"/>
        <v>0.4986146514</v>
      </c>
    </row>
    <row r="698">
      <c r="A698" s="82">
        <v>44685.0</v>
      </c>
      <c r="B698" s="66">
        <v>2375.0</v>
      </c>
      <c r="C698" s="66">
        <v>2.0</v>
      </c>
      <c r="D698" s="66" t="s">
        <v>204</v>
      </c>
      <c r="E698" s="66">
        <v>1.0</v>
      </c>
      <c r="F698" s="66">
        <v>0.2467</v>
      </c>
      <c r="G698" s="66">
        <v>0.123</v>
      </c>
      <c r="I698" s="81">
        <f t="shared" si="1"/>
        <v>1.005691057</v>
      </c>
      <c r="J698" s="81">
        <f t="shared" si="2"/>
        <v>0.4985812728</v>
      </c>
    </row>
    <row r="699">
      <c r="A699" s="82">
        <v>44685.0</v>
      </c>
      <c r="B699" s="66">
        <v>2375.0</v>
      </c>
      <c r="C699" s="66">
        <v>2.0</v>
      </c>
      <c r="D699" s="66" t="s">
        <v>204</v>
      </c>
      <c r="E699" s="66">
        <v>1.0</v>
      </c>
      <c r="F699" s="66">
        <v>0.1986</v>
      </c>
      <c r="G699" s="66">
        <v>0.099</v>
      </c>
      <c r="I699" s="81">
        <f t="shared" si="1"/>
        <v>1.006060606</v>
      </c>
      <c r="J699" s="81">
        <f t="shared" si="2"/>
        <v>0.498489426</v>
      </c>
    </row>
    <row r="700">
      <c r="A700" s="82">
        <v>44685.0</v>
      </c>
      <c r="B700" s="66">
        <v>2375.0</v>
      </c>
      <c r="C700" s="66">
        <v>3.0</v>
      </c>
      <c r="D700" s="66" t="s">
        <v>205</v>
      </c>
      <c r="E700" s="66">
        <v>0.0</v>
      </c>
      <c r="F700" s="66">
        <v>0.0301</v>
      </c>
      <c r="G700" s="66">
        <v>0.015</v>
      </c>
      <c r="H700" s="66" t="s">
        <v>226</v>
      </c>
      <c r="I700" s="81">
        <f t="shared" si="1"/>
        <v>1.006666667</v>
      </c>
      <c r="J700" s="81">
        <f t="shared" si="2"/>
        <v>0.4983388704</v>
      </c>
    </row>
    <row r="701">
      <c r="A701" s="82">
        <v>44685.0</v>
      </c>
      <c r="B701" s="66">
        <v>2375.0</v>
      </c>
      <c r="C701" s="66">
        <v>3.0</v>
      </c>
      <c r="D701" s="66" t="s">
        <v>204</v>
      </c>
      <c r="E701" s="66">
        <v>0.0</v>
      </c>
      <c r="F701" s="66">
        <v>0.301</v>
      </c>
      <c r="G701" s="66">
        <v>0.15</v>
      </c>
      <c r="H701" s="66" t="s">
        <v>229</v>
      </c>
      <c r="I701" s="81">
        <f t="shared" si="1"/>
        <v>1.006666667</v>
      </c>
      <c r="J701" s="81">
        <f t="shared" si="2"/>
        <v>0.4983388704</v>
      </c>
    </row>
    <row r="702">
      <c r="A702" s="82">
        <v>44685.0</v>
      </c>
      <c r="B702" s="66">
        <v>2375.0</v>
      </c>
      <c r="C702" s="66">
        <v>3.0</v>
      </c>
      <c r="D702" s="66" t="s">
        <v>204</v>
      </c>
      <c r="E702" s="66">
        <v>0.0</v>
      </c>
      <c r="F702" s="66">
        <v>0.4857</v>
      </c>
      <c r="G702" s="66">
        <v>0.242</v>
      </c>
      <c r="I702" s="81">
        <f t="shared" si="1"/>
        <v>1.007024793</v>
      </c>
      <c r="J702" s="81">
        <f t="shared" si="2"/>
        <v>0.4982499485</v>
      </c>
    </row>
    <row r="703">
      <c r="A703" s="82">
        <v>44685.0</v>
      </c>
      <c r="B703" s="66">
        <v>2375.0</v>
      </c>
      <c r="C703" s="66">
        <v>3.0</v>
      </c>
      <c r="D703" s="66" t="s">
        <v>204</v>
      </c>
      <c r="E703" s="66">
        <v>1.0</v>
      </c>
      <c r="F703" s="66">
        <v>0.6479</v>
      </c>
      <c r="G703" s="66">
        <v>0.3228</v>
      </c>
      <c r="I703" s="81">
        <f t="shared" si="1"/>
        <v>1.007125155</v>
      </c>
      <c r="J703" s="81">
        <f t="shared" si="2"/>
        <v>0.4982250347</v>
      </c>
    </row>
    <row r="704">
      <c r="A704" s="82">
        <v>44685.0</v>
      </c>
      <c r="B704" s="66">
        <v>2377.0</v>
      </c>
      <c r="C704" s="66">
        <v>1.0</v>
      </c>
      <c r="D704" s="66" t="s">
        <v>205</v>
      </c>
      <c r="E704" s="66">
        <v>1.0</v>
      </c>
      <c r="F704" s="66">
        <v>0.1385</v>
      </c>
      <c r="G704" s="66">
        <v>0.069</v>
      </c>
      <c r="H704" s="66" t="s">
        <v>226</v>
      </c>
      <c r="I704" s="81">
        <f t="shared" si="1"/>
        <v>1.007246377</v>
      </c>
      <c r="J704" s="81">
        <f t="shared" si="2"/>
        <v>0.4981949458</v>
      </c>
    </row>
    <row r="705">
      <c r="A705" s="82">
        <v>44685.0</v>
      </c>
      <c r="B705" s="66">
        <v>2377.0</v>
      </c>
      <c r="C705" s="66">
        <v>1.0</v>
      </c>
      <c r="D705" s="66" t="s">
        <v>204</v>
      </c>
      <c r="E705" s="66">
        <v>1.0</v>
      </c>
      <c r="F705" s="66">
        <v>0.265</v>
      </c>
      <c r="G705" s="66">
        <v>0.132</v>
      </c>
      <c r="H705" s="66" t="s">
        <v>227</v>
      </c>
      <c r="I705" s="81">
        <f t="shared" si="1"/>
        <v>1.007575758</v>
      </c>
      <c r="J705" s="81">
        <f t="shared" si="2"/>
        <v>0.4981132075</v>
      </c>
    </row>
    <row r="706">
      <c r="A706" s="82">
        <v>44685.0</v>
      </c>
      <c r="B706" s="66">
        <v>2377.0</v>
      </c>
      <c r="C706" s="66">
        <v>2.0</v>
      </c>
      <c r="D706" s="66" t="s">
        <v>205</v>
      </c>
      <c r="E706" s="66">
        <v>1.0</v>
      </c>
      <c r="F706" s="66">
        <v>0.4579</v>
      </c>
      <c r="G706" s="66">
        <v>0.228</v>
      </c>
      <c r="H706" s="66" t="s">
        <v>227</v>
      </c>
      <c r="I706" s="81">
        <f t="shared" si="1"/>
        <v>1.008333333</v>
      </c>
      <c r="J706" s="81">
        <f t="shared" si="2"/>
        <v>0.4979253112</v>
      </c>
    </row>
    <row r="707">
      <c r="A707" s="82">
        <v>44685.0</v>
      </c>
      <c r="B707" s="66">
        <v>2377.0</v>
      </c>
      <c r="C707" s="66">
        <v>2.0</v>
      </c>
      <c r="D707" s="66" t="s">
        <v>204</v>
      </c>
      <c r="E707" s="66">
        <v>1.0</v>
      </c>
      <c r="F707" s="66">
        <v>0.578</v>
      </c>
      <c r="G707" s="66">
        <v>0.2878</v>
      </c>
      <c r="I707" s="81">
        <f t="shared" si="1"/>
        <v>1.008339124</v>
      </c>
      <c r="J707" s="81">
        <f t="shared" si="2"/>
        <v>0.4979238754</v>
      </c>
    </row>
    <row r="708">
      <c r="A708" s="82">
        <v>44685.0</v>
      </c>
      <c r="B708" s="66">
        <v>2377.0</v>
      </c>
      <c r="C708" s="66">
        <v>3.0</v>
      </c>
      <c r="D708" s="66" t="s">
        <v>205</v>
      </c>
      <c r="E708" s="66">
        <v>1.0</v>
      </c>
      <c r="F708" s="66">
        <v>0.7881</v>
      </c>
      <c r="G708" s="66">
        <v>0.3924</v>
      </c>
      <c r="I708" s="81">
        <f t="shared" si="1"/>
        <v>1.008409786</v>
      </c>
      <c r="J708" s="81">
        <f t="shared" si="2"/>
        <v>0.4979063571</v>
      </c>
    </row>
    <row r="709">
      <c r="A709" s="82">
        <v>44685.0</v>
      </c>
      <c r="B709" s="66">
        <v>2377.0</v>
      </c>
      <c r="C709" s="66">
        <v>3.0</v>
      </c>
      <c r="D709" s="66" t="s">
        <v>204</v>
      </c>
      <c r="E709" s="66">
        <v>1.0</v>
      </c>
      <c r="F709" s="66">
        <v>0.8082</v>
      </c>
      <c r="G709" s="66">
        <v>0.4023</v>
      </c>
      <c r="H709" s="66" t="s">
        <v>226</v>
      </c>
      <c r="I709" s="81">
        <f t="shared" si="1"/>
        <v>1.008948546</v>
      </c>
      <c r="J709" s="81">
        <f t="shared" si="2"/>
        <v>0.4977728285</v>
      </c>
    </row>
    <row r="710">
      <c r="A710" s="82">
        <v>44685.0</v>
      </c>
      <c r="B710" s="66">
        <v>2378.0</v>
      </c>
      <c r="C710" s="66">
        <v>1.0</v>
      </c>
      <c r="D710" s="66" t="s">
        <v>205</v>
      </c>
      <c r="E710" s="66">
        <v>0.0</v>
      </c>
      <c r="F710" s="66">
        <v>0.7816</v>
      </c>
      <c r="G710" s="66">
        <v>0.389</v>
      </c>
      <c r="H710" s="66" t="s">
        <v>227</v>
      </c>
      <c r="I710" s="81">
        <f t="shared" si="1"/>
        <v>1.009254499</v>
      </c>
      <c r="J710" s="81">
        <f t="shared" si="2"/>
        <v>0.4976970317</v>
      </c>
    </row>
    <row r="711">
      <c r="A711" s="82">
        <v>44685.0</v>
      </c>
      <c r="B711" s="66">
        <v>2378.0</v>
      </c>
      <c r="C711" s="66">
        <v>1.0</v>
      </c>
      <c r="D711" s="66" t="s">
        <v>204</v>
      </c>
      <c r="E711" s="66">
        <v>0.0</v>
      </c>
      <c r="F711" s="66">
        <v>0.205</v>
      </c>
      <c r="G711" s="66">
        <v>0.102</v>
      </c>
      <c r="H711" s="66" t="s">
        <v>226</v>
      </c>
      <c r="I711" s="81">
        <f t="shared" si="1"/>
        <v>1.009803922</v>
      </c>
      <c r="J711" s="81">
        <f t="shared" si="2"/>
        <v>0.4975609756</v>
      </c>
    </row>
    <row r="712">
      <c r="A712" s="82">
        <v>44685.0</v>
      </c>
      <c r="B712" s="66">
        <v>2378.0</v>
      </c>
      <c r="C712" s="66">
        <v>1.0</v>
      </c>
      <c r="D712" s="66" t="s">
        <v>204</v>
      </c>
      <c r="E712" s="66">
        <v>1.0</v>
      </c>
      <c r="F712" s="66">
        <v>0.6453</v>
      </c>
      <c r="G712" s="66">
        <v>0.321</v>
      </c>
      <c r="H712" s="66" t="s">
        <v>226</v>
      </c>
      <c r="I712" s="81">
        <f t="shared" si="1"/>
        <v>1.010280374</v>
      </c>
      <c r="J712" s="81">
        <f t="shared" si="2"/>
        <v>0.4974430497</v>
      </c>
    </row>
    <row r="713">
      <c r="A713" s="82">
        <v>44685.0</v>
      </c>
      <c r="B713" s="66">
        <v>2378.0</v>
      </c>
      <c r="C713" s="66">
        <v>2.0</v>
      </c>
      <c r="D713" s="66" t="s">
        <v>204</v>
      </c>
      <c r="E713" s="66">
        <v>0.0</v>
      </c>
      <c r="F713" s="66">
        <v>0.9308</v>
      </c>
      <c r="G713" s="66">
        <v>0.463</v>
      </c>
      <c r="H713" s="66" t="s">
        <v>227</v>
      </c>
      <c r="I713" s="81">
        <f t="shared" si="1"/>
        <v>1.010367171</v>
      </c>
      <c r="J713" s="81">
        <f t="shared" si="2"/>
        <v>0.4974215728</v>
      </c>
    </row>
    <row r="714">
      <c r="A714" s="82">
        <v>44685.0</v>
      </c>
      <c r="B714" s="66">
        <v>2378.0</v>
      </c>
      <c r="C714" s="66">
        <v>2.0</v>
      </c>
      <c r="D714" s="66" t="s">
        <v>204</v>
      </c>
      <c r="E714" s="66">
        <v>1.0</v>
      </c>
      <c r="F714" s="66">
        <v>0.2101</v>
      </c>
      <c r="G714" s="66">
        <v>0.1045</v>
      </c>
      <c r="H714" s="66" t="s">
        <v>230</v>
      </c>
      <c r="I714" s="81">
        <f t="shared" si="1"/>
        <v>1.010526316</v>
      </c>
      <c r="J714" s="81">
        <f t="shared" si="2"/>
        <v>0.497382199</v>
      </c>
    </row>
    <row r="715">
      <c r="A715" s="82">
        <v>44685.0</v>
      </c>
      <c r="B715" s="66">
        <v>2378.0</v>
      </c>
      <c r="C715" s="66">
        <v>3.0</v>
      </c>
      <c r="D715" s="66" t="s">
        <v>205</v>
      </c>
      <c r="E715" s="66">
        <v>1.0</v>
      </c>
      <c r="F715" s="66">
        <v>0.0885</v>
      </c>
      <c r="G715" s="66">
        <v>0.044</v>
      </c>
      <c r="H715" s="66" t="s">
        <v>227</v>
      </c>
      <c r="I715" s="81">
        <f t="shared" si="1"/>
        <v>1.011363636</v>
      </c>
      <c r="J715" s="81">
        <f t="shared" si="2"/>
        <v>0.4971751412</v>
      </c>
    </row>
    <row r="716">
      <c r="A716" s="82">
        <v>44685.0</v>
      </c>
      <c r="B716" s="66">
        <v>2378.0</v>
      </c>
      <c r="C716" s="66">
        <v>3.0</v>
      </c>
      <c r="D716" s="66" t="s">
        <v>204</v>
      </c>
      <c r="E716" s="66">
        <v>0.0</v>
      </c>
      <c r="F716" s="66">
        <v>0.1408</v>
      </c>
      <c r="G716" s="66">
        <v>0.07</v>
      </c>
      <c r="H716" s="66" t="s">
        <v>227</v>
      </c>
      <c r="I716" s="81">
        <f t="shared" si="1"/>
        <v>1.011428571</v>
      </c>
      <c r="J716" s="81">
        <f t="shared" si="2"/>
        <v>0.4971590909</v>
      </c>
    </row>
    <row r="717">
      <c r="A717" s="82">
        <v>44685.0</v>
      </c>
      <c r="B717" s="66">
        <v>2378.0</v>
      </c>
      <c r="C717" s="66">
        <v>3.0</v>
      </c>
      <c r="D717" s="66" t="s">
        <v>204</v>
      </c>
      <c r="E717" s="66">
        <v>1.0</v>
      </c>
      <c r="F717" s="66">
        <v>0.9064</v>
      </c>
      <c r="G717" s="66">
        <v>0.4506</v>
      </c>
      <c r="I717" s="81">
        <f t="shared" si="1"/>
        <v>1.011540169</v>
      </c>
      <c r="J717" s="81">
        <f t="shared" si="2"/>
        <v>0.4971315093</v>
      </c>
    </row>
    <row r="718">
      <c r="A718" s="82">
        <v>44685.0</v>
      </c>
      <c r="B718" s="66">
        <v>2379.0</v>
      </c>
      <c r="C718" s="66">
        <v>1.0</v>
      </c>
      <c r="D718" s="66" t="s">
        <v>205</v>
      </c>
      <c r="E718" s="66">
        <v>0.0</v>
      </c>
      <c r="F718" s="66">
        <v>0.3965</v>
      </c>
      <c r="G718" s="66">
        <v>0.1971</v>
      </c>
      <c r="I718" s="81">
        <f t="shared" si="1"/>
        <v>1.011669203</v>
      </c>
      <c r="J718" s="81">
        <f t="shared" si="2"/>
        <v>0.4970996217</v>
      </c>
    </row>
    <row r="719">
      <c r="A719" s="82">
        <v>44685.0</v>
      </c>
      <c r="B719" s="66">
        <v>2379.0</v>
      </c>
      <c r="C719" s="66">
        <v>1.0</v>
      </c>
      <c r="D719" s="66" t="s">
        <v>204</v>
      </c>
      <c r="E719" s="66">
        <v>0.0</v>
      </c>
      <c r="F719" s="66">
        <v>1.9475</v>
      </c>
      <c r="G719" s="66">
        <v>0.9681</v>
      </c>
      <c r="I719" s="81">
        <f t="shared" si="1"/>
        <v>1.011672348</v>
      </c>
      <c r="J719" s="81">
        <f t="shared" si="2"/>
        <v>0.4970988447</v>
      </c>
    </row>
    <row r="720">
      <c r="A720" s="82">
        <v>44685.0</v>
      </c>
      <c r="B720" s="66">
        <v>2379.0</v>
      </c>
      <c r="C720" s="66">
        <v>1.0</v>
      </c>
      <c r="D720" s="66" t="s">
        <v>204</v>
      </c>
      <c r="E720" s="66">
        <v>1.0</v>
      </c>
      <c r="F720" s="66">
        <v>0.4426</v>
      </c>
      <c r="G720" s="66">
        <v>0.22</v>
      </c>
      <c r="H720" s="66" t="s">
        <v>227</v>
      </c>
      <c r="I720" s="81">
        <f t="shared" si="1"/>
        <v>1.011818182</v>
      </c>
      <c r="J720" s="81">
        <f t="shared" si="2"/>
        <v>0.4970628107</v>
      </c>
    </row>
    <row r="721">
      <c r="A721" s="82">
        <v>44685.0</v>
      </c>
      <c r="B721" s="66">
        <v>2379.0</v>
      </c>
      <c r="C721" s="66">
        <v>2.0</v>
      </c>
      <c r="D721" s="66" t="s">
        <v>205</v>
      </c>
      <c r="E721" s="66">
        <v>0.0</v>
      </c>
      <c r="F721" s="66">
        <v>0.9794</v>
      </c>
      <c r="G721" s="66">
        <v>0.4868</v>
      </c>
      <c r="I721" s="81">
        <f t="shared" si="1"/>
        <v>1.011914544</v>
      </c>
      <c r="J721" s="81">
        <f t="shared" si="2"/>
        <v>0.4970390035</v>
      </c>
    </row>
    <row r="722">
      <c r="A722" s="82">
        <v>44685.0</v>
      </c>
      <c r="B722" s="66">
        <v>2379.0</v>
      </c>
      <c r="C722" s="66">
        <v>2.0</v>
      </c>
      <c r="D722" s="66" t="s">
        <v>204</v>
      </c>
      <c r="E722" s="66">
        <v>0.0</v>
      </c>
      <c r="F722" s="66">
        <v>0.1819</v>
      </c>
      <c r="G722" s="66">
        <v>0.0904</v>
      </c>
      <c r="H722" s="66" t="s">
        <v>227</v>
      </c>
      <c r="I722" s="81">
        <f t="shared" si="1"/>
        <v>1.012168142</v>
      </c>
      <c r="J722" s="81">
        <f t="shared" si="2"/>
        <v>0.4969763606</v>
      </c>
    </row>
    <row r="723">
      <c r="A723" s="82">
        <v>44685.0</v>
      </c>
      <c r="B723" s="66">
        <v>2379.0</v>
      </c>
      <c r="C723" s="66">
        <v>2.0</v>
      </c>
      <c r="D723" s="66" t="s">
        <v>204</v>
      </c>
      <c r="E723" s="66">
        <v>1.0</v>
      </c>
      <c r="F723" s="66">
        <v>0.3059</v>
      </c>
      <c r="G723" s="66">
        <v>0.152</v>
      </c>
      <c r="I723" s="81">
        <f t="shared" si="1"/>
        <v>1.0125</v>
      </c>
      <c r="J723" s="81">
        <f t="shared" si="2"/>
        <v>0.4968944099</v>
      </c>
    </row>
    <row r="724">
      <c r="A724" s="82">
        <v>44685.0</v>
      </c>
      <c r="B724" s="66">
        <v>2379.0</v>
      </c>
      <c r="C724" s="66">
        <v>3.0</v>
      </c>
      <c r="D724" s="66" t="s">
        <v>205</v>
      </c>
      <c r="E724" s="66">
        <v>0.0</v>
      </c>
      <c r="F724" s="66">
        <v>1.2142</v>
      </c>
      <c r="G724" s="66">
        <v>0.603</v>
      </c>
      <c r="H724" s="66" t="s">
        <v>227</v>
      </c>
      <c r="I724" s="81">
        <f t="shared" si="1"/>
        <v>1.013598673</v>
      </c>
      <c r="J724" s="81">
        <f t="shared" si="2"/>
        <v>0.4966232911</v>
      </c>
    </row>
    <row r="725">
      <c r="A725" s="82">
        <v>44685.0</v>
      </c>
      <c r="B725" s="66">
        <v>2379.0</v>
      </c>
      <c r="C725" s="66">
        <v>3.0</v>
      </c>
      <c r="D725" s="66" t="s">
        <v>204</v>
      </c>
      <c r="E725" s="66">
        <v>0.0</v>
      </c>
      <c r="F725" s="66">
        <v>1.3013</v>
      </c>
      <c r="G725" s="66">
        <v>0.646</v>
      </c>
      <c r="H725" s="66" t="s">
        <v>227</v>
      </c>
      <c r="I725" s="81">
        <f t="shared" si="1"/>
        <v>1.014396285</v>
      </c>
      <c r="J725" s="81">
        <f t="shared" si="2"/>
        <v>0.4964266503</v>
      </c>
    </row>
    <row r="726">
      <c r="A726" s="82">
        <v>44685.0</v>
      </c>
      <c r="B726" s="66">
        <v>2379.0</v>
      </c>
      <c r="C726" s="66">
        <v>3.0</v>
      </c>
      <c r="D726" s="66" t="s">
        <v>204</v>
      </c>
      <c r="E726" s="66">
        <v>1.0</v>
      </c>
      <c r="F726" s="66">
        <v>0.1774</v>
      </c>
      <c r="G726" s="66">
        <v>0.088</v>
      </c>
      <c r="H726" s="66" t="s">
        <v>227</v>
      </c>
      <c r="I726" s="81">
        <f t="shared" si="1"/>
        <v>1.015909091</v>
      </c>
      <c r="J726" s="81">
        <f t="shared" si="2"/>
        <v>0.496054115</v>
      </c>
    </row>
    <row r="727">
      <c r="A727" s="82">
        <v>44685.0</v>
      </c>
      <c r="B727" s="66">
        <v>2380.0</v>
      </c>
      <c r="C727" s="66">
        <v>1.0</v>
      </c>
      <c r="D727" s="66" t="s">
        <v>205</v>
      </c>
      <c r="E727" s="66">
        <v>1.0</v>
      </c>
      <c r="F727" s="66">
        <v>0.2641</v>
      </c>
      <c r="G727" s="66">
        <v>0.131</v>
      </c>
      <c r="H727" s="66" t="s">
        <v>227</v>
      </c>
      <c r="I727" s="81">
        <f t="shared" si="1"/>
        <v>1.016030534</v>
      </c>
      <c r="J727" s="81">
        <f t="shared" si="2"/>
        <v>0.4960242332</v>
      </c>
    </row>
    <row r="728">
      <c r="A728" s="82">
        <v>44685.0</v>
      </c>
      <c r="B728" s="66">
        <v>2380.0</v>
      </c>
      <c r="C728" s="66">
        <v>1.0</v>
      </c>
      <c r="D728" s="66" t="s">
        <v>204</v>
      </c>
      <c r="E728" s="66">
        <v>1.0</v>
      </c>
      <c r="F728" s="66">
        <v>1.0829</v>
      </c>
      <c r="G728" s="66">
        <v>0.5371</v>
      </c>
      <c r="I728" s="81">
        <f t="shared" si="1"/>
        <v>1.016198101</v>
      </c>
      <c r="J728" s="81">
        <f t="shared" si="2"/>
        <v>0.4959830086</v>
      </c>
    </row>
    <row r="729">
      <c r="A729" s="82">
        <v>44685.0</v>
      </c>
      <c r="B729" s="66">
        <v>2380.0</v>
      </c>
      <c r="C729" s="66">
        <v>2.0</v>
      </c>
      <c r="D729" s="66" t="s">
        <v>205</v>
      </c>
      <c r="E729" s="66">
        <v>1.0</v>
      </c>
      <c r="F729" s="66">
        <v>0.9762</v>
      </c>
      <c r="G729" s="66">
        <v>0.484</v>
      </c>
      <c r="I729" s="81">
        <f t="shared" si="1"/>
        <v>1.016942149</v>
      </c>
      <c r="J729" s="81">
        <f t="shared" si="2"/>
        <v>0.495800041</v>
      </c>
    </row>
    <row r="730">
      <c r="A730" s="82">
        <v>44685.0</v>
      </c>
      <c r="B730" s="66">
        <v>2380.0</v>
      </c>
      <c r="C730" s="66">
        <v>2.0</v>
      </c>
      <c r="D730" s="66" t="s">
        <v>204</v>
      </c>
      <c r="E730" s="66">
        <v>1.0</v>
      </c>
      <c r="F730" s="66">
        <v>0.7551</v>
      </c>
      <c r="G730" s="66">
        <v>0.3743</v>
      </c>
      <c r="I730" s="81">
        <f t="shared" si="1"/>
        <v>1.017365749</v>
      </c>
      <c r="J730" s="81">
        <f t="shared" si="2"/>
        <v>0.4956959343</v>
      </c>
    </row>
    <row r="731">
      <c r="A731" s="82">
        <v>44685.0</v>
      </c>
      <c r="B731" s="66">
        <v>2380.0</v>
      </c>
      <c r="C731" s="66">
        <v>3.0</v>
      </c>
      <c r="D731" s="66" t="s">
        <v>205</v>
      </c>
      <c r="E731" s="66">
        <v>1.0</v>
      </c>
      <c r="F731" s="66">
        <v>0.5225</v>
      </c>
      <c r="G731" s="66">
        <v>0.259</v>
      </c>
      <c r="H731" s="66" t="s">
        <v>227</v>
      </c>
      <c r="I731" s="81">
        <f t="shared" si="1"/>
        <v>1.017374517</v>
      </c>
      <c r="J731" s="81">
        <f t="shared" si="2"/>
        <v>0.4956937799</v>
      </c>
    </row>
    <row r="732">
      <c r="A732" s="82">
        <v>44685.0</v>
      </c>
      <c r="B732" s="66">
        <v>2380.0</v>
      </c>
      <c r="C732" s="66">
        <v>3.0</v>
      </c>
      <c r="D732" s="66" t="s">
        <v>204</v>
      </c>
      <c r="E732" s="66">
        <v>1.0</v>
      </c>
      <c r="F732" s="66">
        <v>0.226</v>
      </c>
      <c r="G732" s="66">
        <v>0.112</v>
      </c>
      <c r="H732" s="66" t="s">
        <v>227</v>
      </c>
      <c r="I732" s="81">
        <f t="shared" si="1"/>
        <v>1.017857143</v>
      </c>
      <c r="J732" s="81">
        <f t="shared" si="2"/>
        <v>0.4955752212</v>
      </c>
    </row>
    <row r="733">
      <c r="A733" s="82">
        <v>44685.0</v>
      </c>
      <c r="B733" s="66">
        <v>2383.0</v>
      </c>
      <c r="C733" s="66">
        <v>2.0</v>
      </c>
      <c r="D733" s="66" t="s">
        <v>205</v>
      </c>
      <c r="E733" s="66">
        <v>0.0</v>
      </c>
      <c r="F733" s="66">
        <v>0.2014</v>
      </c>
      <c r="G733" s="66">
        <v>0.0998</v>
      </c>
      <c r="H733" s="66" t="s">
        <v>230</v>
      </c>
      <c r="I733" s="81">
        <f t="shared" si="1"/>
        <v>1.018036072</v>
      </c>
      <c r="J733" s="81">
        <f t="shared" si="2"/>
        <v>0.495531281</v>
      </c>
    </row>
    <row r="734">
      <c r="A734" s="82">
        <v>44685.0</v>
      </c>
      <c r="B734" s="66">
        <v>2383.0</v>
      </c>
      <c r="C734" s="66">
        <v>2.0</v>
      </c>
      <c r="D734" s="66" t="s">
        <v>204</v>
      </c>
      <c r="E734" s="66">
        <v>0.0</v>
      </c>
      <c r="F734" s="66">
        <v>1.1019</v>
      </c>
      <c r="G734" s="66">
        <v>0.546</v>
      </c>
      <c r="H734" s="66" t="s">
        <v>227</v>
      </c>
      <c r="I734" s="81">
        <f t="shared" si="1"/>
        <v>1.018131868</v>
      </c>
      <c r="J734" s="81">
        <f t="shared" si="2"/>
        <v>0.4955077593</v>
      </c>
    </row>
    <row r="735">
      <c r="A735" s="82">
        <v>44685.0</v>
      </c>
      <c r="B735" s="66">
        <v>2383.0</v>
      </c>
      <c r="C735" s="66">
        <v>2.0</v>
      </c>
      <c r="D735" s="66" t="s">
        <v>204</v>
      </c>
      <c r="E735" s="66">
        <v>1.0</v>
      </c>
      <c r="F735" s="66">
        <v>0.218</v>
      </c>
      <c r="G735" s="66">
        <v>0.108</v>
      </c>
      <c r="I735" s="81">
        <f t="shared" si="1"/>
        <v>1.018518519</v>
      </c>
      <c r="J735" s="81">
        <f t="shared" si="2"/>
        <v>0.495412844</v>
      </c>
    </row>
    <row r="736">
      <c r="A736" s="82">
        <v>44685.0</v>
      </c>
      <c r="B736" s="66">
        <v>2383.0</v>
      </c>
      <c r="C736" s="66">
        <v>3.0</v>
      </c>
      <c r="D736" s="66" t="s">
        <v>205</v>
      </c>
      <c r="E736" s="66">
        <v>0.0</v>
      </c>
      <c r="F736" s="66">
        <v>0.313</v>
      </c>
      <c r="G736" s="66">
        <v>0.155</v>
      </c>
      <c r="H736" s="66" t="s">
        <v>229</v>
      </c>
      <c r="I736" s="81">
        <f t="shared" si="1"/>
        <v>1.019354839</v>
      </c>
      <c r="J736" s="81">
        <f t="shared" si="2"/>
        <v>0.4952076677</v>
      </c>
    </row>
    <row r="737">
      <c r="A737" s="82">
        <v>44685.0</v>
      </c>
      <c r="B737" s="66">
        <v>2383.0</v>
      </c>
      <c r="C737" s="66">
        <v>3.0</v>
      </c>
      <c r="D737" s="66" t="s">
        <v>205</v>
      </c>
      <c r="E737" s="66">
        <v>0.0</v>
      </c>
      <c r="F737" s="66">
        <v>2.0297</v>
      </c>
      <c r="G737" s="66">
        <v>1.005</v>
      </c>
      <c r="H737" s="66" t="s">
        <v>226</v>
      </c>
      <c r="I737" s="81">
        <f t="shared" si="1"/>
        <v>1.01960199</v>
      </c>
      <c r="J737" s="81">
        <f t="shared" si="2"/>
        <v>0.4951470661</v>
      </c>
    </row>
    <row r="738">
      <c r="A738" s="82">
        <v>44685.0</v>
      </c>
      <c r="B738" s="66">
        <v>2383.0</v>
      </c>
      <c r="C738" s="66">
        <v>3.0</v>
      </c>
      <c r="D738" s="66" t="s">
        <v>204</v>
      </c>
      <c r="E738" s="66">
        <v>0.0</v>
      </c>
      <c r="F738" s="66">
        <v>0.1331</v>
      </c>
      <c r="G738" s="66">
        <v>0.0659</v>
      </c>
      <c r="I738" s="81">
        <f t="shared" si="1"/>
        <v>1.019726859</v>
      </c>
      <c r="J738" s="81">
        <f t="shared" si="2"/>
        <v>0.4951164538</v>
      </c>
    </row>
    <row r="739">
      <c r="A739" s="82">
        <v>44685.0</v>
      </c>
      <c r="B739" s="66">
        <v>2383.0</v>
      </c>
      <c r="C739" s="66">
        <v>3.0</v>
      </c>
      <c r="D739" s="66" t="s">
        <v>204</v>
      </c>
      <c r="E739" s="66">
        <v>0.0</v>
      </c>
      <c r="F739" s="66">
        <v>1.3212</v>
      </c>
      <c r="G739" s="66">
        <v>0.6541</v>
      </c>
      <c r="I739" s="81">
        <f t="shared" si="1"/>
        <v>1.019874637</v>
      </c>
      <c r="J739" s="81">
        <f t="shared" si="2"/>
        <v>0.4950802301</v>
      </c>
    </row>
    <row r="740">
      <c r="A740" s="82">
        <v>44685.0</v>
      </c>
      <c r="B740" s="66">
        <v>2383.0</v>
      </c>
      <c r="C740" s="66">
        <v>3.0</v>
      </c>
      <c r="D740" s="66" t="s">
        <v>204</v>
      </c>
      <c r="E740" s="66">
        <v>1.0</v>
      </c>
      <c r="F740" s="66">
        <v>1.1557</v>
      </c>
      <c r="G740" s="66">
        <v>0.572</v>
      </c>
      <c r="H740" s="66" t="s">
        <v>227</v>
      </c>
      <c r="I740" s="81">
        <f t="shared" si="1"/>
        <v>1.020454545</v>
      </c>
      <c r="J740" s="81">
        <f t="shared" si="2"/>
        <v>0.4949381327</v>
      </c>
    </row>
    <row r="741">
      <c r="A741" s="82">
        <v>44685.0</v>
      </c>
      <c r="B741" s="66">
        <v>2383.0</v>
      </c>
      <c r="C741" s="66">
        <v>3.0</v>
      </c>
      <c r="D741" s="66" t="s">
        <v>204</v>
      </c>
      <c r="E741" s="66">
        <v>1.0</v>
      </c>
      <c r="F741" s="66">
        <v>1.029</v>
      </c>
      <c r="G741" s="66">
        <v>0.509</v>
      </c>
      <c r="H741" s="66" t="s">
        <v>227</v>
      </c>
      <c r="I741" s="81">
        <f t="shared" si="1"/>
        <v>1.021611002</v>
      </c>
      <c r="J741" s="81">
        <f t="shared" si="2"/>
        <v>0.4946550049</v>
      </c>
    </row>
    <row r="742">
      <c r="A742" s="82">
        <v>44690.0</v>
      </c>
      <c r="B742" s="66">
        <v>1475.0</v>
      </c>
      <c r="C742" s="66">
        <v>1.0</v>
      </c>
      <c r="D742" s="66" t="s">
        <v>205</v>
      </c>
      <c r="E742" s="66">
        <v>0.0</v>
      </c>
      <c r="F742" s="66">
        <v>1.2878</v>
      </c>
      <c r="G742" s="66">
        <v>0.637</v>
      </c>
      <c r="I742" s="81">
        <f t="shared" si="1"/>
        <v>1.02166405</v>
      </c>
      <c r="J742" s="81">
        <f t="shared" si="2"/>
        <v>0.4946420252</v>
      </c>
    </row>
    <row r="743">
      <c r="A743" s="82">
        <v>44690.0</v>
      </c>
      <c r="B743" s="66">
        <v>1475.0</v>
      </c>
      <c r="C743" s="66">
        <v>1.0</v>
      </c>
      <c r="D743" s="66" t="s">
        <v>204</v>
      </c>
      <c r="E743" s="66">
        <v>0.0</v>
      </c>
      <c r="F743" s="66">
        <v>1.3616</v>
      </c>
      <c r="G743" s="66">
        <v>0.6734</v>
      </c>
      <c r="I743" s="81">
        <f t="shared" si="1"/>
        <v>1.021978022</v>
      </c>
      <c r="J743" s="81">
        <f t="shared" si="2"/>
        <v>0.4945652174</v>
      </c>
    </row>
    <row r="744">
      <c r="A744" s="82">
        <v>44690.0</v>
      </c>
      <c r="B744" s="66">
        <v>1475.0</v>
      </c>
      <c r="C744" s="66">
        <v>1.0</v>
      </c>
      <c r="D744" s="66" t="s">
        <v>204</v>
      </c>
      <c r="E744" s="66">
        <v>1.0</v>
      </c>
      <c r="F744" s="66">
        <v>0.0364</v>
      </c>
      <c r="G744" s="66">
        <v>0.018</v>
      </c>
      <c r="I744" s="81">
        <f t="shared" si="1"/>
        <v>1.022222222</v>
      </c>
      <c r="J744" s="81">
        <f t="shared" si="2"/>
        <v>0.4945054945</v>
      </c>
    </row>
    <row r="745">
      <c r="A745" s="82">
        <v>44690.0</v>
      </c>
      <c r="B745" s="66">
        <v>1475.0</v>
      </c>
      <c r="C745" s="66">
        <v>2.0</v>
      </c>
      <c r="D745" s="66" t="s">
        <v>205</v>
      </c>
      <c r="E745" s="66">
        <v>0.0</v>
      </c>
      <c r="F745" s="66">
        <v>0.2913</v>
      </c>
      <c r="G745" s="66">
        <v>0.144</v>
      </c>
      <c r="H745" s="66" t="s">
        <v>227</v>
      </c>
      <c r="I745" s="81">
        <f t="shared" si="1"/>
        <v>1.022916667</v>
      </c>
      <c r="J745" s="81">
        <f t="shared" si="2"/>
        <v>0.4943357364</v>
      </c>
    </row>
    <row r="746">
      <c r="A746" s="82">
        <v>44690.0</v>
      </c>
      <c r="B746" s="66">
        <v>1475.0</v>
      </c>
      <c r="C746" s="66">
        <v>2.0</v>
      </c>
      <c r="D746" s="66" t="s">
        <v>204</v>
      </c>
      <c r="E746" s="66">
        <v>0.0</v>
      </c>
      <c r="F746" s="66">
        <v>0.4479</v>
      </c>
      <c r="G746" s="66">
        <v>0.2213</v>
      </c>
      <c r="H746" s="66" t="s">
        <v>227</v>
      </c>
      <c r="I746" s="81">
        <f t="shared" si="1"/>
        <v>1.02394939</v>
      </c>
      <c r="J746" s="81">
        <f t="shared" si="2"/>
        <v>0.4940835008</v>
      </c>
    </row>
    <row r="747">
      <c r="A747" s="82">
        <v>44690.0</v>
      </c>
      <c r="B747" s="66">
        <v>1475.0</v>
      </c>
      <c r="C747" s="66">
        <v>3.0</v>
      </c>
      <c r="D747" s="66" t="s">
        <v>204</v>
      </c>
      <c r="E747" s="66">
        <v>0.0</v>
      </c>
      <c r="F747" s="66">
        <v>1.6727</v>
      </c>
      <c r="G747" s="66">
        <v>0.8263</v>
      </c>
      <c r="H747" s="66" t="s">
        <v>226</v>
      </c>
      <c r="I747" s="81">
        <f t="shared" si="1"/>
        <v>1.024325306</v>
      </c>
      <c r="J747" s="81">
        <f t="shared" si="2"/>
        <v>0.4939917499</v>
      </c>
    </row>
    <row r="748">
      <c r="A748" s="82">
        <v>44690.0</v>
      </c>
      <c r="B748" s="66">
        <v>1475.0</v>
      </c>
      <c r="C748" s="66">
        <v>3.0</v>
      </c>
      <c r="D748" s="66" t="s">
        <v>204</v>
      </c>
      <c r="E748" s="66">
        <v>1.0</v>
      </c>
      <c r="F748" s="66">
        <v>0.7928</v>
      </c>
      <c r="G748" s="66">
        <v>0.3916</v>
      </c>
      <c r="H748" s="66" t="s">
        <v>226</v>
      </c>
      <c r="I748" s="81">
        <f t="shared" si="1"/>
        <v>1.024514811</v>
      </c>
      <c r="J748" s="81">
        <f t="shared" si="2"/>
        <v>0.4939455096</v>
      </c>
    </row>
    <row r="749">
      <c r="A749" s="82">
        <v>44690.0</v>
      </c>
      <c r="B749" s="66">
        <v>2004.0</v>
      </c>
      <c r="C749" s="66">
        <v>1.0</v>
      </c>
      <c r="D749" s="66" t="s">
        <v>205</v>
      </c>
      <c r="E749" s="66">
        <v>0.0</v>
      </c>
      <c r="F749" s="66">
        <v>0.0879</v>
      </c>
      <c r="G749" s="66">
        <v>0.0434</v>
      </c>
      <c r="H749" s="66" t="s">
        <v>230</v>
      </c>
      <c r="I749" s="81">
        <f t="shared" si="1"/>
        <v>1.025345622</v>
      </c>
      <c r="J749" s="81">
        <f t="shared" si="2"/>
        <v>0.4937428896</v>
      </c>
    </row>
    <row r="750">
      <c r="A750" s="82">
        <v>44690.0</v>
      </c>
      <c r="B750" s="66">
        <v>2004.0</v>
      </c>
      <c r="C750" s="66">
        <v>1.0</v>
      </c>
      <c r="D750" s="66" t="s">
        <v>204</v>
      </c>
      <c r="E750" s="66">
        <v>0.0</v>
      </c>
      <c r="F750" s="66">
        <v>0.9666</v>
      </c>
      <c r="G750" s="66">
        <v>0.4772</v>
      </c>
      <c r="H750" s="66" t="s">
        <v>230</v>
      </c>
      <c r="I750" s="81">
        <f t="shared" si="1"/>
        <v>1.025565801</v>
      </c>
      <c r="J750" s="81">
        <f t="shared" si="2"/>
        <v>0.4936892199</v>
      </c>
    </row>
    <row r="751">
      <c r="A751" s="82">
        <v>44690.0</v>
      </c>
      <c r="B751" s="66">
        <v>2004.0</v>
      </c>
      <c r="C751" s="66">
        <v>2.0</v>
      </c>
      <c r="D751" s="66" t="s">
        <v>205</v>
      </c>
      <c r="E751" s="66">
        <v>0.0</v>
      </c>
      <c r="F751" s="66">
        <v>0.0689</v>
      </c>
      <c r="G751" s="66">
        <v>0.034</v>
      </c>
      <c r="I751" s="81">
        <f t="shared" si="1"/>
        <v>1.026470588</v>
      </c>
      <c r="J751" s="81">
        <f t="shared" si="2"/>
        <v>0.4934687954</v>
      </c>
    </row>
    <row r="752">
      <c r="A752" s="82">
        <v>44690.0</v>
      </c>
      <c r="B752" s="66">
        <v>2004.0</v>
      </c>
      <c r="C752" s="66">
        <v>2.0</v>
      </c>
      <c r="D752" s="66" t="s">
        <v>204</v>
      </c>
      <c r="E752" s="66">
        <v>0.0</v>
      </c>
      <c r="F752" s="66">
        <v>0.153</v>
      </c>
      <c r="G752" s="66">
        <v>0.0755</v>
      </c>
      <c r="I752" s="81">
        <f t="shared" si="1"/>
        <v>1.026490066</v>
      </c>
      <c r="J752" s="81">
        <f t="shared" si="2"/>
        <v>0.4934640523</v>
      </c>
    </row>
    <row r="753">
      <c r="A753" s="82">
        <v>44690.0</v>
      </c>
      <c r="B753" s="66">
        <v>2004.0</v>
      </c>
      <c r="C753" s="66">
        <v>3.0</v>
      </c>
      <c r="D753" s="66" t="s">
        <v>205</v>
      </c>
      <c r="E753" s="66">
        <v>0.0</v>
      </c>
      <c r="F753" s="66">
        <v>1.2768</v>
      </c>
      <c r="G753" s="66">
        <v>0.63</v>
      </c>
      <c r="H753" s="66" t="s">
        <v>227</v>
      </c>
      <c r="I753" s="81">
        <f t="shared" si="1"/>
        <v>1.026666667</v>
      </c>
      <c r="J753" s="81">
        <f t="shared" si="2"/>
        <v>0.4934210526</v>
      </c>
    </row>
    <row r="754">
      <c r="A754" s="82">
        <v>44690.0</v>
      </c>
      <c r="B754" s="66">
        <v>2004.0</v>
      </c>
      <c r="C754" s="66">
        <v>3.0</v>
      </c>
      <c r="D754" s="66" t="s">
        <v>204</v>
      </c>
      <c r="E754" s="66">
        <v>0.0</v>
      </c>
      <c r="F754" s="66">
        <v>1.7795</v>
      </c>
      <c r="G754" s="66">
        <v>0.878</v>
      </c>
      <c r="H754" s="66" t="s">
        <v>227</v>
      </c>
      <c r="I754" s="81">
        <f t="shared" si="1"/>
        <v>1.026765376</v>
      </c>
      <c r="J754" s="81">
        <f t="shared" si="2"/>
        <v>0.4933970216</v>
      </c>
    </row>
    <row r="755">
      <c r="A755" s="82">
        <v>44690.0</v>
      </c>
      <c r="B755" s="66">
        <v>2005.0</v>
      </c>
      <c r="C755" s="66">
        <v>1.0</v>
      </c>
      <c r="D755" s="66" t="s">
        <v>205</v>
      </c>
      <c r="E755" s="66">
        <v>0.0</v>
      </c>
      <c r="F755" s="66">
        <v>0.5781</v>
      </c>
      <c r="G755" s="66">
        <v>0.2852</v>
      </c>
      <c r="H755" s="66" t="s">
        <v>226</v>
      </c>
      <c r="I755" s="81">
        <f t="shared" si="1"/>
        <v>1.026998597</v>
      </c>
      <c r="J755" s="81">
        <f t="shared" si="2"/>
        <v>0.4933402526</v>
      </c>
    </row>
    <row r="756">
      <c r="A756" s="82">
        <v>44690.0</v>
      </c>
      <c r="B756" s="66">
        <v>2005.0</v>
      </c>
      <c r="C756" s="66">
        <v>1.0</v>
      </c>
      <c r="D756" s="66" t="s">
        <v>204</v>
      </c>
      <c r="E756" s="66">
        <v>0.0</v>
      </c>
      <c r="F756" s="66">
        <v>0.2129</v>
      </c>
      <c r="G756" s="66">
        <v>0.105</v>
      </c>
      <c r="I756" s="81">
        <f t="shared" si="1"/>
        <v>1.027619048</v>
      </c>
      <c r="J756" s="81">
        <f t="shared" si="2"/>
        <v>0.4931892907</v>
      </c>
    </row>
    <row r="757">
      <c r="A757" s="82">
        <v>44690.0</v>
      </c>
      <c r="B757" s="66">
        <v>2005.0</v>
      </c>
      <c r="C757" s="66">
        <v>1.0</v>
      </c>
      <c r="D757" s="66" t="s">
        <v>204</v>
      </c>
      <c r="E757" s="66">
        <v>1.0</v>
      </c>
      <c r="F757" s="66">
        <v>0.073</v>
      </c>
      <c r="G757" s="66">
        <v>0.036</v>
      </c>
      <c r="I757" s="81">
        <f t="shared" si="1"/>
        <v>1.027777778</v>
      </c>
      <c r="J757" s="81">
        <f t="shared" si="2"/>
        <v>0.4931506849</v>
      </c>
    </row>
    <row r="758">
      <c r="A758" s="82">
        <v>44690.0</v>
      </c>
      <c r="B758" s="66">
        <v>2005.0</v>
      </c>
      <c r="C758" s="66">
        <v>2.0</v>
      </c>
      <c r="D758" s="66" t="s">
        <v>205</v>
      </c>
      <c r="E758" s="66">
        <v>0.0</v>
      </c>
      <c r="F758" s="66">
        <v>1.4926</v>
      </c>
      <c r="G758" s="66">
        <v>0.736</v>
      </c>
      <c r="H758" s="66" t="s">
        <v>227</v>
      </c>
      <c r="I758" s="81">
        <f t="shared" si="1"/>
        <v>1.02798913</v>
      </c>
      <c r="J758" s="81">
        <f t="shared" si="2"/>
        <v>0.4930992898</v>
      </c>
    </row>
    <row r="759">
      <c r="A759" s="82">
        <v>44690.0</v>
      </c>
      <c r="B759" s="66">
        <v>2005.0</v>
      </c>
      <c r="C759" s="66">
        <v>2.0</v>
      </c>
      <c r="D759" s="66" t="s">
        <v>204</v>
      </c>
      <c r="E759" s="66">
        <v>0.0</v>
      </c>
      <c r="F759" s="66">
        <v>0.1663</v>
      </c>
      <c r="G759" s="66">
        <v>0.082</v>
      </c>
      <c r="H759" s="66" t="s">
        <v>227</v>
      </c>
      <c r="I759" s="81">
        <f t="shared" si="1"/>
        <v>1.02804878</v>
      </c>
      <c r="J759" s="81">
        <f t="shared" si="2"/>
        <v>0.4930847865</v>
      </c>
    </row>
    <row r="760">
      <c r="A760" s="82">
        <v>44690.0</v>
      </c>
      <c r="B760" s="66">
        <v>2005.0</v>
      </c>
      <c r="C760" s="66">
        <v>2.0</v>
      </c>
      <c r="D760" s="66" t="s">
        <v>204</v>
      </c>
      <c r="E760" s="66">
        <v>1.0</v>
      </c>
      <c r="F760" s="66">
        <v>0.1217</v>
      </c>
      <c r="G760" s="66">
        <v>0.06</v>
      </c>
      <c r="H760" s="66" t="s">
        <v>226</v>
      </c>
      <c r="I760" s="81">
        <f t="shared" si="1"/>
        <v>1.028333333</v>
      </c>
      <c r="J760" s="81">
        <f t="shared" si="2"/>
        <v>0.4930156122</v>
      </c>
    </row>
    <row r="761">
      <c r="A761" s="82">
        <v>44690.0</v>
      </c>
      <c r="B761" s="66">
        <v>2005.0</v>
      </c>
      <c r="C761" s="66">
        <v>3.0</v>
      </c>
      <c r="D761" s="66" t="s">
        <v>205</v>
      </c>
      <c r="E761" s="66">
        <v>0.0</v>
      </c>
      <c r="F761" s="66">
        <v>0.1639</v>
      </c>
      <c r="G761" s="66">
        <v>0.0808</v>
      </c>
      <c r="H761" s="66" t="s">
        <v>230</v>
      </c>
      <c r="I761" s="81">
        <f t="shared" si="1"/>
        <v>1.028465347</v>
      </c>
      <c r="J761" s="81">
        <f t="shared" si="2"/>
        <v>0.4929835265</v>
      </c>
    </row>
    <row r="762">
      <c r="A762" s="82">
        <v>44690.0</v>
      </c>
      <c r="B762" s="66">
        <v>2005.0</v>
      </c>
      <c r="C762" s="66">
        <v>3.0</v>
      </c>
      <c r="D762" s="66" t="s">
        <v>204</v>
      </c>
      <c r="E762" s="66">
        <v>1.0</v>
      </c>
      <c r="F762" s="66">
        <v>0.2577</v>
      </c>
      <c r="G762" s="66">
        <v>0.127</v>
      </c>
      <c r="I762" s="81">
        <f t="shared" si="1"/>
        <v>1.029133858</v>
      </c>
      <c r="J762" s="81">
        <f t="shared" si="2"/>
        <v>0.4928211098</v>
      </c>
    </row>
    <row r="763">
      <c r="A763" s="82">
        <v>44690.0</v>
      </c>
      <c r="B763" s="66">
        <v>2005.0</v>
      </c>
      <c r="C763" s="66">
        <v>3.0</v>
      </c>
      <c r="D763" s="66" t="s">
        <v>204</v>
      </c>
      <c r="E763" s="66">
        <v>1.0</v>
      </c>
      <c r="F763" s="66">
        <v>0.2456</v>
      </c>
      <c r="G763" s="66">
        <v>0.121</v>
      </c>
      <c r="H763" s="66" t="s">
        <v>227</v>
      </c>
      <c r="I763" s="81">
        <f t="shared" si="1"/>
        <v>1.029752066</v>
      </c>
      <c r="J763" s="81">
        <f t="shared" si="2"/>
        <v>0.4926710098</v>
      </c>
    </row>
    <row r="764">
      <c r="A764" s="82">
        <v>44690.0</v>
      </c>
      <c r="B764" s="66">
        <v>2006.0</v>
      </c>
      <c r="C764" s="66">
        <v>1.0</v>
      </c>
      <c r="D764" s="66" t="s">
        <v>205</v>
      </c>
      <c r="E764" s="66">
        <v>0.0</v>
      </c>
      <c r="F764" s="66">
        <v>0.0745</v>
      </c>
      <c r="G764" s="66">
        <v>0.0367</v>
      </c>
      <c r="H764" s="66" t="s">
        <v>226</v>
      </c>
      <c r="I764" s="81">
        <f t="shared" si="1"/>
        <v>1.029972752</v>
      </c>
      <c r="J764" s="81">
        <f t="shared" si="2"/>
        <v>0.4926174497</v>
      </c>
    </row>
    <row r="765">
      <c r="A765" s="82">
        <v>44690.0</v>
      </c>
      <c r="B765" s="66">
        <v>2006.0</v>
      </c>
      <c r="C765" s="66">
        <v>1.0</v>
      </c>
      <c r="D765" s="66" t="s">
        <v>204</v>
      </c>
      <c r="E765" s="66">
        <v>0.0</v>
      </c>
      <c r="F765" s="66">
        <v>0.404</v>
      </c>
      <c r="G765" s="66">
        <v>0.199</v>
      </c>
      <c r="H765" s="66" t="s">
        <v>227</v>
      </c>
      <c r="I765" s="81">
        <f t="shared" si="1"/>
        <v>1.030150754</v>
      </c>
      <c r="J765" s="81">
        <f t="shared" si="2"/>
        <v>0.4925742574</v>
      </c>
    </row>
    <row r="766">
      <c r="A766" s="82">
        <v>44690.0</v>
      </c>
      <c r="B766" s="66">
        <v>2006.0</v>
      </c>
      <c r="C766" s="66">
        <v>1.0</v>
      </c>
      <c r="D766" s="66" t="s">
        <v>204</v>
      </c>
      <c r="E766" s="66">
        <v>0.0</v>
      </c>
      <c r="F766" s="66">
        <v>0.2079</v>
      </c>
      <c r="G766" s="66">
        <v>0.1024</v>
      </c>
      <c r="H766" s="66" t="s">
        <v>226</v>
      </c>
      <c r="I766" s="81">
        <f t="shared" si="1"/>
        <v>1.030273438</v>
      </c>
      <c r="J766" s="81">
        <f t="shared" si="2"/>
        <v>0.4925444925</v>
      </c>
    </row>
    <row r="767">
      <c r="A767" s="82">
        <v>44690.0</v>
      </c>
      <c r="B767" s="66">
        <v>2006.0</v>
      </c>
      <c r="C767" s="66">
        <v>2.0</v>
      </c>
      <c r="D767" s="66" t="s">
        <v>205</v>
      </c>
      <c r="E767" s="66">
        <v>0.0</v>
      </c>
      <c r="F767" s="66">
        <v>0.6295</v>
      </c>
      <c r="G767" s="66">
        <v>0.31</v>
      </c>
      <c r="I767" s="81">
        <f t="shared" si="1"/>
        <v>1.030645161</v>
      </c>
      <c r="J767" s="81">
        <f t="shared" si="2"/>
        <v>0.4924543288</v>
      </c>
    </row>
    <row r="768">
      <c r="A768" s="82">
        <v>44690.0</v>
      </c>
      <c r="B768" s="66">
        <v>2006.0</v>
      </c>
      <c r="C768" s="66">
        <v>2.0</v>
      </c>
      <c r="D768" s="66" t="s">
        <v>204</v>
      </c>
      <c r="E768" s="66">
        <v>0.0</v>
      </c>
      <c r="F768" s="66">
        <v>0.2843</v>
      </c>
      <c r="G768" s="66">
        <v>0.14</v>
      </c>
      <c r="H768" s="66" t="s">
        <v>227</v>
      </c>
      <c r="I768" s="81">
        <f t="shared" si="1"/>
        <v>1.030714286</v>
      </c>
      <c r="J768" s="81">
        <f t="shared" si="2"/>
        <v>0.492437566</v>
      </c>
    </row>
    <row r="769">
      <c r="A769" s="82">
        <v>44690.0</v>
      </c>
      <c r="B769" s="66">
        <v>2006.0</v>
      </c>
      <c r="C769" s="66">
        <v>2.0</v>
      </c>
      <c r="D769" s="66" t="s">
        <v>204</v>
      </c>
      <c r="E769" s="66">
        <v>1.0</v>
      </c>
      <c r="F769" s="66">
        <v>0.1889</v>
      </c>
      <c r="G769" s="66">
        <v>0.093</v>
      </c>
      <c r="H769" s="66" t="s">
        <v>227</v>
      </c>
      <c r="I769" s="81">
        <f t="shared" si="1"/>
        <v>1.031182796</v>
      </c>
      <c r="J769" s="81">
        <f t="shared" si="2"/>
        <v>0.4923239809</v>
      </c>
    </row>
    <row r="770">
      <c r="A770" s="82">
        <v>44690.0</v>
      </c>
      <c r="B770" s="66">
        <v>2006.0</v>
      </c>
      <c r="C770" s="66">
        <v>3.0</v>
      </c>
      <c r="D770" s="66" t="s">
        <v>205</v>
      </c>
      <c r="E770" s="66">
        <v>0.0</v>
      </c>
      <c r="F770" s="66">
        <v>0.1158</v>
      </c>
      <c r="G770" s="66">
        <v>0.057</v>
      </c>
      <c r="H770" s="66" t="s">
        <v>227</v>
      </c>
      <c r="I770" s="81">
        <f t="shared" si="1"/>
        <v>1.031578947</v>
      </c>
      <c r="J770" s="81">
        <f t="shared" si="2"/>
        <v>0.4922279793</v>
      </c>
    </row>
    <row r="771">
      <c r="A771" s="82">
        <v>44690.0</v>
      </c>
      <c r="B771" s="66">
        <v>2006.0</v>
      </c>
      <c r="C771" s="66">
        <v>3.0</v>
      </c>
      <c r="D771" s="66" t="s">
        <v>204</v>
      </c>
      <c r="E771" s="66">
        <v>0.0</v>
      </c>
      <c r="F771" s="66">
        <v>0.3109</v>
      </c>
      <c r="G771" s="66">
        <v>0.153</v>
      </c>
      <c r="H771" s="66" t="s">
        <v>227</v>
      </c>
      <c r="I771" s="81">
        <f t="shared" si="1"/>
        <v>1.032026144</v>
      </c>
      <c r="J771" s="81">
        <f t="shared" si="2"/>
        <v>0.4921196526</v>
      </c>
    </row>
    <row r="772">
      <c r="A772" s="82">
        <v>44690.0</v>
      </c>
      <c r="B772" s="66">
        <v>2006.0</v>
      </c>
      <c r="C772" s="66">
        <v>3.0</v>
      </c>
      <c r="D772" s="66" t="s">
        <v>204</v>
      </c>
      <c r="E772" s="66">
        <v>1.0</v>
      </c>
      <c r="F772" s="66">
        <v>0.2654</v>
      </c>
      <c r="G772" s="66">
        <v>0.1306</v>
      </c>
      <c r="H772" s="66" t="s">
        <v>230</v>
      </c>
      <c r="I772" s="81">
        <f t="shared" si="1"/>
        <v>1.032159265</v>
      </c>
      <c r="J772" s="81">
        <f t="shared" si="2"/>
        <v>0.4920874152</v>
      </c>
    </row>
    <row r="773">
      <c r="A773" s="82">
        <v>44690.0</v>
      </c>
      <c r="B773" s="66">
        <v>2007.0</v>
      </c>
      <c r="C773" s="66">
        <v>1.0</v>
      </c>
      <c r="D773" s="66" t="s">
        <v>205</v>
      </c>
      <c r="E773" s="66">
        <v>0.0</v>
      </c>
      <c r="F773" s="66">
        <v>0.0805</v>
      </c>
      <c r="G773" s="66">
        <v>0.0396</v>
      </c>
      <c r="H773" s="66" t="s">
        <v>226</v>
      </c>
      <c r="I773" s="81">
        <f t="shared" si="1"/>
        <v>1.032828283</v>
      </c>
      <c r="J773" s="81">
        <f t="shared" si="2"/>
        <v>0.4919254658</v>
      </c>
    </row>
    <row r="774">
      <c r="A774" s="82">
        <v>44690.0</v>
      </c>
      <c r="B774" s="66">
        <v>2007.0</v>
      </c>
      <c r="C774" s="66">
        <v>1.0</v>
      </c>
      <c r="D774" s="66" t="s">
        <v>204</v>
      </c>
      <c r="E774" s="66">
        <v>0.0</v>
      </c>
      <c r="F774" s="66">
        <v>1.624</v>
      </c>
      <c r="G774" s="66">
        <v>0.7983</v>
      </c>
      <c r="H774" s="66" t="s">
        <v>226</v>
      </c>
      <c r="I774" s="81">
        <f t="shared" si="1"/>
        <v>1.034322936</v>
      </c>
      <c r="J774" s="81">
        <f t="shared" si="2"/>
        <v>0.4915640394</v>
      </c>
    </row>
    <row r="775">
      <c r="A775" s="82">
        <v>44690.0</v>
      </c>
      <c r="B775" s="66">
        <v>2007.0</v>
      </c>
      <c r="C775" s="66">
        <v>1.0</v>
      </c>
      <c r="D775" s="66" t="s">
        <v>204</v>
      </c>
      <c r="E775" s="66">
        <v>1.0</v>
      </c>
      <c r="F775" s="66">
        <v>0.057</v>
      </c>
      <c r="G775" s="66">
        <v>0.028</v>
      </c>
      <c r="H775" s="66" t="s">
        <v>227</v>
      </c>
      <c r="I775" s="81">
        <f t="shared" si="1"/>
        <v>1.035714286</v>
      </c>
      <c r="J775" s="81">
        <f t="shared" si="2"/>
        <v>0.4912280702</v>
      </c>
    </row>
    <row r="776">
      <c r="A776" s="82">
        <v>44690.0</v>
      </c>
      <c r="B776" s="66">
        <v>2007.0</v>
      </c>
      <c r="C776" s="66">
        <v>2.0</v>
      </c>
      <c r="D776" s="66" t="s">
        <v>205</v>
      </c>
      <c r="E776" s="66">
        <v>0.0</v>
      </c>
      <c r="F776" s="66">
        <v>0.6319</v>
      </c>
      <c r="G776" s="66">
        <v>0.3104</v>
      </c>
      <c r="H776" s="66" t="s">
        <v>226</v>
      </c>
      <c r="I776" s="81">
        <f t="shared" si="1"/>
        <v>1.035760309</v>
      </c>
      <c r="J776" s="81">
        <f t="shared" si="2"/>
        <v>0.4912169647</v>
      </c>
    </row>
    <row r="777">
      <c r="A777" s="82">
        <v>44690.0</v>
      </c>
      <c r="B777" s="66">
        <v>2007.0</v>
      </c>
      <c r="C777" s="66">
        <v>2.0</v>
      </c>
      <c r="D777" s="66" t="s">
        <v>204</v>
      </c>
      <c r="E777" s="66">
        <v>0.0</v>
      </c>
      <c r="F777" s="66">
        <v>0.6313</v>
      </c>
      <c r="G777" s="66">
        <v>0.3101</v>
      </c>
      <c r="H777" s="66" t="s">
        <v>226</v>
      </c>
      <c r="I777" s="81">
        <f t="shared" si="1"/>
        <v>1.035794905</v>
      </c>
      <c r="J777" s="81">
        <f t="shared" si="2"/>
        <v>0.4912086171</v>
      </c>
    </row>
    <row r="778">
      <c r="A778" s="82">
        <v>44690.0</v>
      </c>
      <c r="B778" s="66">
        <v>2007.0</v>
      </c>
      <c r="C778" s="66">
        <v>2.0</v>
      </c>
      <c r="D778" s="66" t="s">
        <v>204</v>
      </c>
      <c r="E778" s="66">
        <v>1.0</v>
      </c>
      <c r="F778" s="66">
        <v>0.4259</v>
      </c>
      <c r="G778" s="66">
        <v>0.2092</v>
      </c>
      <c r="I778" s="81">
        <f t="shared" si="1"/>
        <v>1.03585086</v>
      </c>
      <c r="J778" s="81">
        <f t="shared" si="2"/>
        <v>0.4911951162</v>
      </c>
    </row>
    <row r="779">
      <c r="A779" s="82">
        <v>44690.0</v>
      </c>
      <c r="B779" s="66">
        <v>2007.0</v>
      </c>
      <c r="C779" s="66">
        <v>3.0</v>
      </c>
      <c r="D779" s="66" t="s">
        <v>205</v>
      </c>
      <c r="E779" s="66">
        <v>0.0</v>
      </c>
      <c r="F779" s="66">
        <v>1.9089</v>
      </c>
      <c r="G779" s="66">
        <v>0.9373</v>
      </c>
      <c r="H779" s="66" t="s">
        <v>226</v>
      </c>
      <c r="I779" s="81">
        <f t="shared" si="1"/>
        <v>1.036594473</v>
      </c>
      <c r="J779" s="81">
        <f t="shared" si="2"/>
        <v>0.4910157682</v>
      </c>
    </row>
    <row r="780">
      <c r="A780" s="82">
        <v>44690.0</v>
      </c>
      <c r="B780" s="66">
        <v>2007.0</v>
      </c>
      <c r="C780" s="66">
        <v>3.0</v>
      </c>
      <c r="D780" s="66" t="s">
        <v>204</v>
      </c>
      <c r="E780" s="66">
        <v>0.0</v>
      </c>
      <c r="F780" s="66">
        <v>0.1131</v>
      </c>
      <c r="G780" s="66">
        <v>0.0555</v>
      </c>
      <c r="H780" s="66" t="s">
        <v>230</v>
      </c>
      <c r="I780" s="81">
        <f t="shared" si="1"/>
        <v>1.037837838</v>
      </c>
      <c r="J780" s="81">
        <f t="shared" si="2"/>
        <v>0.4907161804</v>
      </c>
    </row>
    <row r="781">
      <c r="A781" s="82">
        <v>44690.0</v>
      </c>
      <c r="B781" s="66">
        <v>2007.0</v>
      </c>
      <c r="C781" s="66">
        <v>3.0</v>
      </c>
      <c r="D781" s="66" t="s">
        <v>204</v>
      </c>
      <c r="E781" s="66">
        <v>1.0</v>
      </c>
      <c r="F781" s="66">
        <v>1.4449</v>
      </c>
      <c r="G781" s="66">
        <v>0.7089</v>
      </c>
      <c r="H781" s="66" t="s">
        <v>226</v>
      </c>
      <c r="I781" s="81">
        <f t="shared" si="1"/>
        <v>1.038228241</v>
      </c>
      <c r="J781" s="81">
        <f t="shared" si="2"/>
        <v>0.4906221884</v>
      </c>
    </row>
    <row r="782">
      <c r="A782" s="82">
        <v>44690.0</v>
      </c>
      <c r="B782" s="66">
        <v>2012.0</v>
      </c>
      <c r="C782" s="66">
        <v>1.0</v>
      </c>
      <c r="D782" s="66" t="s">
        <v>205</v>
      </c>
      <c r="E782" s="66">
        <v>0.0</v>
      </c>
      <c r="F782" s="66">
        <v>0.7779</v>
      </c>
      <c r="G782" s="66">
        <v>0.3816</v>
      </c>
      <c r="I782" s="81">
        <f t="shared" si="1"/>
        <v>1.038522013</v>
      </c>
      <c r="J782" s="81">
        <f t="shared" si="2"/>
        <v>0.4905514848</v>
      </c>
    </row>
    <row r="783">
      <c r="A783" s="82">
        <v>44690.0</v>
      </c>
      <c r="B783" s="66">
        <v>2012.0</v>
      </c>
      <c r="C783" s="66">
        <v>1.0</v>
      </c>
      <c r="D783" s="66" t="s">
        <v>204</v>
      </c>
      <c r="E783" s="66">
        <v>1.0</v>
      </c>
      <c r="F783" s="66">
        <v>0.5973</v>
      </c>
      <c r="G783" s="66">
        <v>0.293</v>
      </c>
      <c r="H783" s="66" t="s">
        <v>227</v>
      </c>
      <c r="I783" s="81">
        <f t="shared" si="1"/>
        <v>1.038566553</v>
      </c>
      <c r="J783" s="81">
        <f t="shared" si="2"/>
        <v>0.4905407668</v>
      </c>
    </row>
    <row r="784">
      <c r="A784" s="82">
        <v>44690.0</v>
      </c>
      <c r="B784" s="66">
        <v>2012.0</v>
      </c>
      <c r="C784" s="66">
        <v>2.0</v>
      </c>
      <c r="D784" s="66" t="s">
        <v>205</v>
      </c>
      <c r="E784" s="66">
        <v>0.0</v>
      </c>
      <c r="F784" s="66">
        <v>0.2862</v>
      </c>
      <c r="G784" s="66">
        <v>0.1403</v>
      </c>
      <c r="H784" s="66" t="s">
        <v>230</v>
      </c>
      <c r="I784" s="81">
        <f t="shared" si="1"/>
        <v>1.039914469</v>
      </c>
      <c r="J784" s="81">
        <f t="shared" si="2"/>
        <v>0.4902166317</v>
      </c>
    </row>
    <row r="785">
      <c r="A785" s="82">
        <v>44690.0</v>
      </c>
      <c r="B785" s="66">
        <v>2012.0</v>
      </c>
      <c r="C785" s="66">
        <v>2.0</v>
      </c>
      <c r="D785" s="66" t="s">
        <v>204</v>
      </c>
      <c r="E785" s="66">
        <v>0.0</v>
      </c>
      <c r="F785" s="66">
        <v>0.081</v>
      </c>
      <c r="G785" s="66">
        <v>0.0397</v>
      </c>
      <c r="H785" s="66" t="s">
        <v>230</v>
      </c>
      <c r="I785" s="81">
        <f t="shared" si="1"/>
        <v>1.040302267</v>
      </c>
      <c r="J785" s="81">
        <f t="shared" si="2"/>
        <v>0.4901234568</v>
      </c>
    </row>
    <row r="786">
      <c r="A786" s="82">
        <v>44690.0</v>
      </c>
      <c r="B786" s="66">
        <v>2012.0</v>
      </c>
      <c r="C786" s="66">
        <v>2.0</v>
      </c>
      <c r="D786" s="66" t="s">
        <v>204</v>
      </c>
      <c r="E786" s="66">
        <v>1.0</v>
      </c>
      <c r="F786" s="66">
        <v>0.2559</v>
      </c>
      <c r="G786" s="66">
        <v>0.1254</v>
      </c>
      <c r="I786" s="81">
        <f t="shared" si="1"/>
        <v>1.040669856</v>
      </c>
      <c r="J786" s="81">
        <f t="shared" si="2"/>
        <v>0.49003517</v>
      </c>
    </row>
    <row r="787">
      <c r="A787" s="82">
        <v>44690.0</v>
      </c>
      <c r="B787" s="66">
        <v>2012.0</v>
      </c>
      <c r="C787" s="66">
        <v>3.0</v>
      </c>
      <c r="D787" s="66" t="s">
        <v>205</v>
      </c>
      <c r="E787" s="66">
        <v>0.0</v>
      </c>
      <c r="F787" s="66">
        <v>0.782</v>
      </c>
      <c r="G787" s="66">
        <v>0.383</v>
      </c>
      <c r="H787" s="66" t="s">
        <v>227</v>
      </c>
      <c r="I787" s="81">
        <f t="shared" si="1"/>
        <v>1.041775457</v>
      </c>
      <c r="J787" s="81">
        <f t="shared" si="2"/>
        <v>0.489769821</v>
      </c>
    </row>
    <row r="788">
      <c r="A788" s="82">
        <v>44690.0</v>
      </c>
      <c r="B788" s="66">
        <v>2012.0</v>
      </c>
      <c r="C788" s="66">
        <v>3.0</v>
      </c>
      <c r="D788" s="66" t="s">
        <v>204</v>
      </c>
      <c r="E788" s="66">
        <v>0.0</v>
      </c>
      <c r="F788" s="66">
        <v>0.1593</v>
      </c>
      <c r="G788" s="66">
        <v>0.078</v>
      </c>
      <c r="H788" s="66" t="s">
        <v>227</v>
      </c>
      <c r="I788" s="81">
        <f t="shared" si="1"/>
        <v>1.042307692</v>
      </c>
      <c r="J788" s="81">
        <f t="shared" si="2"/>
        <v>0.4896421846</v>
      </c>
    </row>
    <row r="789">
      <c r="A789" s="82">
        <v>44690.0</v>
      </c>
      <c r="B789" s="66">
        <v>2012.0</v>
      </c>
      <c r="C789" s="66">
        <v>3.0</v>
      </c>
      <c r="D789" s="66" t="s">
        <v>204</v>
      </c>
      <c r="E789" s="66">
        <v>1.0</v>
      </c>
      <c r="F789" s="66">
        <v>0.09809</v>
      </c>
      <c r="G789" s="66">
        <v>0.048</v>
      </c>
      <c r="H789" s="66" t="s">
        <v>227</v>
      </c>
      <c r="I789" s="81">
        <f t="shared" si="1"/>
        <v>1.043541667</v>
      </c>
      <c r="J789" s="81">
        <f t="shared" si="2"/>
        <v>0.4893465185</v>
      </c>
    </row>
    <row r="790">
      <c r="A790" s="82">
        <v>44690.0</v>
      </c>
      <c r="B790" s="66">
        <v>2013.0</v>
      </c>
      <c r="C790" s="66">
        <v>1.0</v>
      </c>
      <c r="D790" s="66" t="s">
        <v>205</v>
      </c>
      <c r="E790" s="66">
        <v>0.0</v>
      </c>
      <c r="F790" s="66">
        <v>0.9799</v>
      </c>
      <c r="G790" s="66">
        <v>0.4795</v>
      </c>
      <c r="H790" s="66" t="s">
        <v>226</v>
      </c>
      <c r="I790" s="81">
        <f t="shared" si="1"/>
        <v>1.04358707</v>
      </c>
      <c r="J790" s="81">
        <f t="shared" si="2"/>
        <v>0.4893356465</v>
      </c>
    </row>
    <row r="791">
      <c r="A791" s="82">
        <v>44690.0</v>
      </c>
      <c r="B791" s="66">
        <v>2013.0</v>
      </c>
      <c r="C791" s="66">
        <v>1.0</v>
      </c>
      <c r="D791" s="66" t="s">
        <v>204</v>
      </c>
      <c r="E791" s="66">
        <v>0.0</v>
      </c>
      <c r="F791" s="66">
        <v>0.6103</v>
      </c>
      <c r="G791" s="66">
        <v>0.2986</v>
      </c>
      <c r="H791" s="66" t="s">
        <v>226</v>
      </c>
      <c r="I791" s="81">
        <f t="shared" si="1"/>
        <v>1.0438714</v>
      </c>
      <c r="J791" s="81">
        <f t="shared" si="2"/>
        <v>0.4892675733</v>
      </c>
    </row>
    <row r="792">
      <c r="A792" s="82">
        <v>44690.0</v>
      </c>
      <c r="B792" s="66">
        <v>2013.0</v>
      </c>
      <c r="C792" s="66">
        <v>1.0</v>
      </c>
      <c r="D792" s="66" t="s">
        <v>204</v>
      </c>
      <c r="E792" s="66">
        <v>1.0</v>
      </c>
      <c r="F792" s="66">
        <v>0.8188</v>
      </c>
      <c r="G792" s="66">
        <v>0.4006</v>
      </c>
      <c r="H792" s="66" t="s">
        <v>226</v>
      </c>
      <c r="I792" s="81">
        <f t="shared" si="1"/>
        <v>1.043934099</v>
      </c>
      <c r="J792" s="81">
        <f t="shared" si="2"/>
        <v>0.4892525647</v>
      </c>
    </row>
    <row r="793">
      <c r="A793" s="82">
        <v>44690.0</v>
      </c>
      <c r="B793" s="66">
        <v>2013.0</v>
      </c>
      <c r="C793" s="66">
        <v>2.0</v>
      </c>
      <c r="D793" s="66" t="s">
        <v>205</v>
      </c>
      <c r="E793" s="66">
        <v>0.0</v>
      </c>
      <c r="F793" s="66">
        <v>0.0186</v>
      </c>
      <c r="G793" s="66">
        <v>0.0091</v>
      </c>
      <c r="H793" s="66" t="s">
        <v>230</v>
      </c>
      <c r="I793" s="81">
        <f t="shared" si="1"/>
        <v>1.043956044</v>
      </c>
      <c r="J793" s="81">
        <f t="shared" si="2"/>
        <v>0.4892473118</v>
      </c>
    </row>
    <row r="794">
      <c r="A794" s="82">
        <v>44690.0</v>
      </c>
      <c r="B794" s="66">
        <v>2013.0</v>
      </c>
      <c r="C794" s="66">
        <v>2.0</v>
      </c>
      <c r="D794" s="66" t="s">
        <v>204</v>
      </c>
      <c r="E794" s="66">
        <v>0.0</v>
      </c>
      <c r="F794" s="66">
        <v>0.4129</v>
      </c>
      <c r="G794" s="66">
        <v>0.202</v>
      </c>
      <c r="H794" s="66" t="s">
        <v>227</v>
      </c>
      <c r="I794" s="81">
        <f t="shared" si="1"/>
        <v>1.044059406</v>
      </c>
      <c r="J794" s="81">
        <f t="shared" si="2"/>
        <v>0.4892225721</v>
      </c>
    </row>
    <row r="795">
      <c r="A795" s="82">
        <v>44690.0</v>
      </c>
      <c r="B795" s="66">
        <v>2013.0</v>
      </c>
      <c r="C795" s="66">
        <v>3.0</v>
      </c>
      <c r="D795" s="66" t="s">
        <v>205</v>
      </c>
      <c r="E795" s="66">
        <v>0.0</v>
      </c>
      <c r="F795" s="66">
        <v>0.9763</v>
      </c>
      <c r="G795" s="66">
        <v>0.4776</v>
      </c>
      <c r="I795" s="81">
        <f t="shared" si="1"/>
        <v>1.044179229</v>
      </c>
      <c r="J795" s="81">
        <f t="shared" si="2"/>
        <v>0.4891938953</v>
      </c>
    </row>
    <row r="796">
      <c r="A796" s="82">
        <v>44690.0</v>
      </c>
      <c r="B796" s="66">
        <v>2013.0</v>
      </c>
      <c r="C796" s="66">
        <v>3.0</v>
      </c>
      <c r="D796" s="66" t="s">
        <v>204</v>
      </c>
      <c r="E796" s="66">
        <v>0.0</v>
      </c>
      <c r="F796" s="66">
        <v>0.2816</v>
      </c>
      <c r="G796" s="66">
        <v>0.1377</v>
      </c>
      <c r="I796" s="81">
        <f t="shared" si="1"/>
        <v>1.045025418</v>
      </c>
      <c r="J796" s="81">
        <f t="shared" si="2"/>
        <v>0.4889914773</v>
      </c>
    </row>
    <row r="797">
      <c r="A797" s="82">
        <v>44690.0</v>
      </c>
      <c r="B797" s="66">
        <v>2013.0</v>
      </c>
      <c r="C797" s="66">
        <v>3.0</v>
      </c>
      <c r="D797" s="66" t="s">
        <v>204</v>
      </c>
      <c r="E797" s="66">
        <v>1.0</v>
      </c>
      <c r="F797" s="66">
        <v>0.4326</v>
      </c>
      <c r="G797" s="66">
        <v>0.2115</v>
      </c>
      <c r="I797" s="81">
        <f t="shared" si="1"/>
        <v>1.045390071</v>
      </c>
      <c r="J797" s="81">
        <f t="shared" si="2"/>
        <v>0.4889042996</v>
      </c>
    </row>
    <row r="798">
      <c r="A798" s="82">
        <v>44690.0</v>
      </c>
      <c r="B798" s="66">
        <v>2015.0</v>
      </c>
      <c r="C798" s="66">
        <v>1.0</v>
      </c>
      <c r="D798" s="66" t="s">
        <v>205</v>
      </c>
      <c r="E798" s="66">
        <v>0.0</v>
      </c>
      <c r="F798" s="66">
        <v>1.4186</v>
      </c>
      <c r="G798" s="66">
        <v>0.6935</v>
      </c>
      <c r="I798" s="81">
        <f t="shared" si="1"/>
        <v>1.04556597</v>
      </c>
      <c r="J798" s="81">
        <f t="shared" si="2"/>
        <v>0.4888622586</v>
      </c>
    </row>
    <row r="799">
      <c r="A799" s="82">
        <v>44690.0</v>
      </c>
      <c r="B799" s="66">
        <v>2015.0</v>
      </c>
      <c r="C799" s="66">
        <v>1.0</v>
      </c>
      <c r="D799" s="66" t="s">
        <v>204</v>
      </c>
      <c r="E799" s="66">
        <v>0.0</v>
      </c>
      <c r="F799" s="66">
        <v>1.5016</v>
      </c>
      <c r="G799" s="66">
        <v>0.734</v>
      </c>
      <c r="I799" s="81">
        <f t="shared" si="1"/>
        <v>1.045776567</v>
      </c>
      <c r="J799" s="81">
        <f t="shared" si="2"/>
        <v>0.4888119339</v>
      </c>
    </row>
    <row r="800">
      <c r="A800" s="82">
        <v>44690.0</v>
      </c>
      <c r="B800" s="66">
        <v>2015.0</v>
      </c>
      <c r="C800" s="66">
        <v>1.0</v>
      </c>
      <c r="D800" s="66" t="s">
        <v>204</v>
      </c>
      <c r="E800" s="66">
        <v>1.0</v>
      </c>
      <c r="F800" s="66">
        <v>0.0714</v>
      </c>
      <c r="G800" s="66">
        <v>0.0349</v>
      </c>
      <c r="I800" s="81">
        <f t="shared" si="1"/>
        <v>1.045845272</v>
      </c>
      <c r="J800" s="81">
        <f t="shared" si="2"/>
        <v>0.4887955182</v>
      </c>
    </row>
    <row r="801">
      <c r="A801" s="82">
        <v>44690.0</v>
      </c>
      <c r="B801" s="66">
        <v>2015.0</v>
      </c>
      <c r="C801" s="66">
        <v>2.0</v>
      </c>
      <c r="D801" s="66" t="s">
        <v>205</v>
      </c>
      <c r="E801" s="66">
        <v>0.0</v>
      </c>
      <c r="F801" s="66">
        <v>0.124</v>
      </c>
      <c r="G801" s="66">
        <v>0.0606</v>
      </c>
      <c r="H801" s="66" t="s">
        <v>230</v>
      </c>
      <c r="I801" s="81">
        <f t="shared" si="1"/>
        <v>1.04620462</v>
      </c>
      <c r="J801" s="81">
        <f t="shared" si="2"/>
        <v>0.4887096774</v>
      </c>
    </row>
    <row r="802">
      <c r="A802" s="82">
        <v>44690.0</v>
      </c>
      <c r="B802" s="66">
        <v>2015.0</v>
      </c>
      <c r="C802" s="66">
        <v>2.0</v>
      </c>
      <c r="D802" s="66" t="s">
        <v>204</v>
      </c>
      <c r="E802" s="66">
        <v>0.0</v>
      </c>
      <c r="F802" s="66">
        <v>0.2988</v>
      </c>
      <c r="G802" s="66">
        <v>0.146</v>
      </c>
      <c r="H802" s="66" t="s">
        <v>226</v>
      </c>
      <c r="I802" s="81">
        <f t="shared" si="1"/>
        <v>1.046575342</v>
      </c>
      <c r="J802" s="81">
        <f t="shared" si="2"/>
        <v>0.4886211513</v>
      </c>
    </row>
    <row r="803">
      <c r="A803" s="82">
        <v>44690.0</v>
      </c>
      <c r="B803" s="66">
        <v>2015.0</v>
      </c>
      <c r="C803" s="66">
        <v>2.0</v>
      </c>
      <c r="D803" s="66" t="s">
        <v>204</v>
      </c>
      <c r="E803" s="66">
        <v>1.0</v>
      </c>
      <c r="F803" s="66">
        <v>0.1269</v>
      </c>
      <c r="G803" s="66">
        <v>0.062</v>
      </c>
      <c r="H803" s="66" t="s">
        <v>226</v>
      </c>
      <c r="I803" s="81">
        <f t="shared" si="1"/>
        <v>1.046774194</v>
      </c>
      <c r="J803" s="81">
        <f t="shared" si="2"/>
        <v>0.4885736801</v>
      </c>
    </row>
    <row r="804">
      <c r="A804" s="82">
        <v>44690.0</v>
      </c>
      <c r="B804" s="66">
        <v>2015.0</v>
      </c>
      <c r="C804" s="66">
        <v>3.0</v>
      </c>
      <c r="D804" s="66" t="s">
        <v>205</v>
      </c>
      <c r="E804" s="66">
        <v>0.0</v>
      </c>
      <c r="F804" s="66">
        <v>0.1912</v>
      </c>
      <c r="G804" s="66">
        <v>0.0934</v>
      </c>
      <c r="H804" s="66" t="s">
        <v>227</v>
      </c>
      <c r="I804" s="81">
        <f t="shared" si="1"/>
        <v>1.047109208</v>
      </c>
      <c r="J804" s="81">
        <f t="shared" si="2"/>
        <v>0.4884937238</v>
      </c>
    </row>
    <row r="805">
      <c r="A805" s="82">
        <v>44690.0</v>
      </c>
      <c r="B805" s="66">
        <v>2015.0</v>
      </c>
      <c r="C805" s="66">
        <v>3.0</v>
      </c>
      <c r="D805" s="66" t="s">
        <v>204</v>
      </c>
      <c r="E805" s="66">
        <v>0.0</v>
      </c>
      <c r="F805" s="66">
        <v>0.1208</v>
      </c>
      <c r="G805" s="66">
        <v>0.059</v>
      </c>
      <c r="I805" s="81">
        <f t="shared" si="1"/>
        <v>1.047457627</v>
      </c>
      <c r="J805" s="81">
        <f t="shared" si="2"/>
        <v>0.488410596</v>
      </c>
    </row>
    <row r="806">
      <c r="A806" s="82">
        <v>44690.0</v>
      </c>
      <c r="B806" s="66">
        <v>2015.0</v>
      </c>
      <c r="C806" s="66">
        <v>3.0</v>
      </c>
      <c r="D806" s="66" t="s">
        <v>204</v>
      </c>
      <c r="E806" s="66">
        <v>1.0</v>
      </c>
      <c r="F806" s="66">
        <v>0.1966</v>
      </c>
      <c r="G806" s="66">
        <v>0.096</v>
      </c>
      <c r="I806" s="81">
        <f t="shared" si="1"/>
        <v>1.047916667</v>
      </c>
      <c r="J806" s="81">
        <f t="shared" si="2"/>
        <v>0.488301119</v>
      </c>
    </row>
    <row r="807">
      <c r="A807" s="82">
        <v>44690.0</v>
      </c>
      <c r="B807" s="66">
        <v>2020.0</v>
      </c>
      <c r="C807" s="66">
        <v>1.0</v>
      </c>
      <c r="D807" s="66" t="s">
        <v>205</v>
      </c>
      <c r="E807" s="66">
        <v>0.0</v>
      </c>
      <c r="F807" s="66">
        <v>0.34</v>
      </c>
      <c r="G807" s="66">
        <v>0.166</v>
      </c>
      <c r="I807" s="81">
        <f t="shared" si="1"/>
        <v>1.048192771</v>
      </c>
      <c r="J807" s="81">
        <f t="shared" si="2"/>
        <v>0.4882352941</v>
      </c>
    </row>
    <row r="808">
      <c r="A808" s="82">
        <v>44690.0</v>
      </c>
      <c r="B808" s="66">
        <v>2020.0</v>
      </c>
      <c r="C808" s="66">
        <v>1.0</v>
      </c>
      <c r="D808" s="66" t="s">
        <v>204</v>
      </c>
      <c r="E808" s="66">
        <v>0.0</v>
      </c>
      <c r="F808" s="66">
        <v>0.0891</v>
      </c>
      <c r="G808" s="66">
        <v>0.0435</v>
      </c>
      <c r="I808" s="81">
        <f t="shared" si="1"/>
        <v>1.048275862</v>
      </c>
      <c r="J808" s="81">
        <f t="shared" si="2"/>
        <v>0.4882154882</v>
      </c>
    </row>
    <row r="809">
      <c r="A809" s="82">
        <v>44690.0</v>
      </c>
      <c r="B809" s="66">
        <v>2020.0</v>
      </c>
      <c r="C809" s="66">
        <v>1.0</v>
      </c>
      <c r="D809" s="66" t="s">
        <v>204</v>
      </c>
      <c r="E809" s="66">
        <v>1.0</v>
      </c>
      <c r="F809" s="66">
        <v>0.6841</v>
      </c>
      <c r="G809" s="66">
        <v>0.3339</v>
      </c>
      <c r="H809" s="66" t="s">
        <v>230</v>
      </c>
      <c r="I809" s="81">
        <f t="shared" si="1"/>
        <v>1.048817011</v>
      </c>
      <c r="J809" s="81">
        <f t="shared" si="2"/>
        <v>0.4880865371</v>
      </c>
    </row>
    <row r="810">
      <c r="A810" s="82">
        <v>44690.0</v>
      </c>
      <c r="B810" s="66">
        <v>2020.0</v>
      </c>
      <c r="C810" s="66">
        <v>2.0</v>
      </c>
      <c r="D810" s="66" t="s">
        <v>204</v>
      </c>
      <c r="E810" s="66">
        <v>0.0</v>
      </c>
      <c r="F810" s="66">
        <v>0.125</v>
      </c>
      <c r="G810" s="66">
        <v>0.061</v>
      </c>
      <c r="H810" s="66" t="s">
        <v>227</v>
      </c>
      <c r="I810" s="81">
        <f t="shared" si="1"/>
        <v>1.049180328</v>
      </c>
      <c r="J810" s="81">
        <f t="shared" si="2"/>
        <v>0.488</v>
      </c>
    </row>
    <row r="811">
      <c r="A811" s="82">
        <v>44690.0</v>
      </c>
      <c r="B811" s="66">
        <v>2020.0</v>
      </c>
      <c r="C811" s="66">
        <v>3.0</v>
      </c>
      <c r="D811" s="66" t="s">
        <v>205</v>
      </c>
      <c r="E811" s="66">
        <v>0.0</v>
      </c>
      <c r="F811" s="66">
        <v>0.1789</v>
      </c>
      <c r="G811" s="66">
        <v>0.0873</v>
      </c>
      <c r="H811" s="66" t="s">
        <v>230</v>
      </c>
      <c r="I811" s="81">
        <f t="shared" si="1"/>
        <v>1.049255441</v>
      </c>
      <c r="J811" s="81">
        <f t="shared" si="2"/>
        <v>0.4879821129</v>
      </c>
    </row>
    <row r="812">
      <c r="A812" s="82">
        <v>44690.0</v>
      </c>
      <c r="B812" s="66">
        <v>2020.0</v>
      </c>
      <c r="C812" s="66">
        <v>3.0</v>
      </c>
      <c r="D812" s="66" t="s">
        <v>204</v>
      </c>
      <c r="E812" s="66">
        <v>0.0</v>
      </c>
      <c r="F812" s="66">
        <v>0.1242</v>
      </c>
      <c r="G812" s="66">
        <v>0.0606</v>
      </c>
      <c r="H812" s="66" t="s">
        <v>230</v>
      </c>
      <c r="I812" s="81">
        <f t="shared" si="1"/>
        <v>1.04950495</v>
      </c>
      <c r="J812" s="81">
        <f t="shared" si="2"/>
        <v>0.4879227053</v>
      </c>
    </row>
    <row r="813">
      <c r="A813" s="82">
        <v>44690.0</v>
      </c>
      <c r="B813" s="66">
        <v>2020.0</v>
      </c>
      <c r="C813" s="66">
        <v>3.0</v>
      </c>
      <c r="D813" s="66" t="s">
        <v>204</v>
      </c>
      <c r="E813" s="66">
        <v>1.0</v>
      </c>
      <c r="F813" s="66">
        <v>0.6251</v>
      </c>
      <c r="G813" s="66">
        <v>0.305</v>
      </c>
      <c r="H813" s="66" t="s">
        <v>227</v>
      </c>
      <c r="I813" s="81">
        <f t="shared" si="1"/>
        <v>1.049508197</v>
      </c>
      <c r="J813" s="81">
        <f t="shared" si="2"/>
        <v>0.4879219325</v>
      </c>
    </row>
    <row r="814">
      <c r="A814" s="82">
        <v>44690.0</v>
      </c>
      <c r="B814" s="66">
        <v>2021.0</v>
      </c>
      <c r="C814" s="66">
        <v>1.0</v>
      </c>
      <c r="D814" s="66" t="s">
        <v>205</v>
      </c>
      <c r="E814" s="66">
        <v>0.0</v>
      </c>
      <c r="F814" s="66">
        <v>2.513</v>
      </c>
      <c r="G814" s="66">
        <v>1.2261</v>
      </c>
      <c r="I814" s="81">
        <f t="shared" si="1"/>
        <v>1.049588125</v>
      </c>
      <c r="J814" s="81">
        <f t="shared" si="2"/>
        <v>0.4879029049</v>
      </c>
    </row>
    <row r="815">
      <c r="A815" s="82">
        <v>44690.0</v>
      </c>
      <c r="B815" s="66">
        <v>2021.0</v>
      </c>
      <c r="C815" s="66">
        <v>1.0</v>
      </c>
      <c r="D815" s="66" t="s">
        <v>204</v>
      </c>
      <c r="E815" s="66">
        <v>0.0</v>
      </c>
      <c r="F815" s="66">
        <v>0.7713</v>
      </c>
      <c r="G815" s="66">
        <v>0.3762</v>
      </c>
      <c r="I815" s="81">
        <f t="shared" si="1"/>
        <v>1.050239234</v>
      </c>
      <c r="J815" s="81">
        <f t="shared" si="2"/>
        <v>0.487747958</v>
      </c>
    </row>
    <row r="816">
      <c r="A816" s="82">
        <v>44690.0</v>
      </c>
      <c r="B816" s="66">
        <v>2021.0</v>
      </c>
      <c r="C816" s="66">
        <v>1.0</v>
      </c>
      <c r="D816" s="66" t="s">
        <v>204</v>
      </c>
      <c r="E816" s="66">
        <v>1.0</v>
      </c>
      <c r="F816" s="66">
        <v>1.4335</v>
      </c>
      <c r="G816" s="66">
        <v>0.699</v>
      </c>
      <c r="H816" s="66" t="s">
        <v>227</v>
      </c>
      <c r="I816" s="81">
        <f t="shared" si="1"/>
        <v>1.050786838</v>
      </c>
      <c r="J816" s="81">
        <f t="shared" si="2"/>
        <v>0.4876177189</v>
      </c>
    </row>
    <row r="817">
      <c r="A817" s="82">
        <v>44690.0</v>
      </c>
      <c r="B817" s="66">
        <v>2021.0</v>
      </c>
      <c r="C817" s="66">
        <v>2.0</v>
      </c>
      <c r="D817" s="66" t="s">
        <v>205</v>
      </c>
      <c r="E817" s="66">
        <v>0.0</v>
      </c>
      <c r="F817" s="66">
        <v>0.3008</v>
      </c>
      <c r="G817" s="66">
        <v>0.1466</v>
      </c>
      <c r="I817" s="81">
        <f t="shared" si="1"/>
        <v>1.051841746</v>
      </c>
      <c r="J817" s="81">
        <f t="shared" si="2"/>
        <v>0.4873670213</v>
      </c>
    </row>
    <row r="818">
      <c r="A818" s="82">
        <v>44690.0</v>
      </c>
      <c r="B818" s="66">
        <v>2021.0</v>
      </c>
      <c r="C818" s="66">
        <v>2.0</v>
      </c>
      <c r="D818" s="66" t="s">
        <v>204</v>
      </c>
      <c r="E818" s="66">
        <v>0.0</v>
      </c>
      <c r="F818" s="66">
        <v>0.0616</v>
      </c>
      <c r="G818" s="66">
        <v>0.03</v>
      </c>
      <c r="H818" s="66" t="s">
        <v>226</v>
      </c>
      <c r="I818" s="81">
        <f t="shared" si="1"/>
        <v>1.053333333</v>
      </c>
      <c r="J818" s="81">
        <f t="shared" si="2"/>
        <v>0.487012987</v>
      </c>
    </row>
    <row r="819">
      <c r="A819" s="82">
        <v>44690.0</v>
      </c>
      <c r="B819" s="66">
        <v>2021.0</v>
      </c>
      <c r="C819" s="66">
        <v>2.0</v>
      </c>
      <c r="D819" s="66" t="s">
        <v>204</v>
      </c>
      <c r="E819" s="66">
        <v>1.0</v>
      </c>
      <c r="F819" s="66">
        <v>0.1561</v>
      </c>
      <c r="G819" s="66">
        <v>0.076</v>
      </c>
      <c r="H819" s="66" t="s">
        <v>227</v>
      </c>
      <c r="I819" s="81">
        <f t="shared" si="1"/>
        <v>1.053947368</v>
      </c>
      <c r="J819" s="81">
        <f t="shared" si="2"/>
        <v>0.4868673927</v>
      </c>
    </row>
    <row r="820">
      <c r="A820" s="82">
        <v>44690.0</v>
      </c>
      <c r="B820" s="66">
        <v>2021.0</v>
      </c>
      <c r="C820" s="66">
        <v>3.0</v>
      </c>
      <c r="D820" s="66" t="s">
        <v>205</v>
      </c>
      <c r="E820" s="66">
        <v>0.0</v>
      </c>
      <c r="F820" s="66">
        <v>0.1294</v>
      </c>
      <c r="G820" s="66">
        <v>0.063</v>
      </c>
      <c r="H820" s="66" t="s">
        <v>227</v>
      </c>
      <c r="I820" s="81">
        <f t="shared" si="1"/>
        <v>1.053968254</v>
      </c>
      <c r="J820" s="81">
        <f t="shared" si="2"/>
        <v>0.486862442</v>
      </c>
    </row>
    <row r="821">
      <c r="A821" s="82">
        <v>44690.0</v>
      </c>
      <c r="B821" s="66">
        <v>2021.0</v>
      </c>
      <c r="C821" s="66">
        <v>3.0</v>
      </c>
      <c r="D821" s="66" t="s">
        <v>204</v>
      </c>
      <c r="E821" s="66">
        <v>0.0</v>
      </c>
      <c r="F821" s="66">
        <v>0.1294</v>
      </c>
      <c r="G821" s="66">
        <v>0.063</v>
      </c>
      <c r="H821" s="66" t="s">
        <v>227</v>
      </c>
      <c r="I821" s="81">
        <f t="shared" si="1"/>
        <v>1.053968254</v>
      </c>
      <c r="J821" s="81">
        <f t="shared" si="2"/>
        <v>0.486862442</v>
      </c>
    </row>
    <row r="822">
      <c r="A822" s="82">
        <v>44690.0</v>
      </c>
      <c r="B822" s="66">
        <v>2021.0</v>
      </c>
      <c r="C822" s="66">
        <v>3.0</v>
      </c>
      <c r="D822" s="66" t="s">
        <v>204</v>
      </c>
      <c r="E822" s="66">
        <v>1.0</v>
      </c>
      <c r="F822" s="66">
        <v>0.1471</v>
      </c>
      <c r="G822" s="66">
        <v>0.0716</v>
      </c>
      <c r="H822" s="66" t="s">
        <v>230</v>
      </c>
      <c r="I822" s="81">
        <f t="shared" si="1"/>
        <v>1.054469274</v>
      </c>
      <c r="J822" s="81">
        <f t="shared" si="2"/>
        <v>0.4867437118</v>
      </c>
    </row>
    <row r="823">
      <c r="A823" s="82">
        <v>44690.0</v>
      </c>
      <c r="B823" s="66">
        <v>2022.0</v>
      </c>
      <c r="C823" s="66">
        <v>1.0</v>
      </c>
      <c r="D823" s="66" t="s">
        <v>205</v>
      </c>
      <c r="E823" s="66">
        <v>0.0</v>
      </c>
      <c r="F823" s="66">
        <v>1.0131</v>
      </c>
      <c r="G823" s="66">
        <v>0.4928</v>
      </c>
      <c r="H823" s="66" t="s">
        <v>226</v>
      </c>
      <c r="I823" s="81">
        <f t="shared" si="1"/>
        <v>1.055803571</v>
      </c>
      <c r="J823" s="81">
        <f t="shared" si="2"/>
        <v>0.4864277959</v>
      </c>
    </row>
    <row r="824">
      <c r="A824" s="82">
        <v>44690.0</v>
      </c>
      <c r="B824" s="66">
        <v>2022.0</v>
      </c>
      <c r="C824" s="66">
        <v>1.0</v>
      </c>
      <c r="D824" s="66" t="s">
        <v>205</v>
      </c>
      <c r="E824" s="66">
        <v>1.0</v>
      </c>
      <c r="F824" s="66">
        <v>0.2786</v>
      </c>
      <c r="G824" s="66">
        <v>0.1355</v>
      </c>
      <c r="H824" s="66" t="s">
        <v>227</v>
      </c>
      <c r="I824" s="81">
        <f t="shared" si="1"/>
        <v>1.056088561</v>
      </c>
      <c r="J824" s="81">
        <f t="shared" si="2"/>
        <v>0.4863603733</v>
      </c>
    </row>
    <row r="825">
      <c r="A825" s="82">
        <v>44690.0</v>
      </c>
      <c r="B825" s="66">
        <v>2022.0</v>
      </c>
      <c r="C825" s="66">
        <v>1.0</v>
      </c>
      <c r="D825" s="66" t="s">
        <v>204</v>
      </c>
      <c r="E825" s="66">
        <v>0.0</v>
      </c>
      <c r="F825" s="66">
        <v>1.9536</v>
      </c>
      <c r="G825" s="66">
        <v>0.95</v>
      </c>
      <c r="H825" s="66" t="s">
        <v>227</v>
      </c>
      <c r="I825" s="81">
        <f t="shared" si="1"/>
        <v>1.056421053</v>
      </c>
      <c r="J825" s="81">
        <f t="shared" si="2"/>
        <v>0.4862817363</v>
      </c>
    </row>
    <row r="826">
      <c r="A826" s="82">
        <v>44690.0</v>
      </c>
      <c r="B826" s="66">
        <v>2022.0</v>
      </c>
      <c r="C826" s="66">
        <v>1.0</v>
      </c>
      <c r="D826" s="66" t="s">
        <v>204</v>
      </c>
      <c r="E826" s="66">
        <v>1.0</v>
      </c>
      <c r="F826" s="66">
        <v>1.8329</v>
      </c>
      <c r="G826" s="66">
        <v>0.8913</v>
      </c>
      <c r="I826" s="81">
        <f t="shared" si="1"/>
        <v>1.056434422</v>
      </c>
      <c r="J826" s="81">
        <f t="shared" si="2"/>
        <v>0.4862785749</v>
      </c>
    </row>
    <row r="827">
      <c r="A827" s="82">
        <v>44690.0</v>
      </c>
      <c r="B827" s="66">
        <v>2022.0</v>
      </c>
      <c r="C827" s="66">
        <v>2.0</v>
      </c>
      <c r="D827" s="66" t="s">
        <v>205</v>
      </c>
      <c r="E827" s="66">
        <v>0.0</v>
      </c>
      <c r="F827" s="66">
        <v>0.4031</v>
      </c>
      <c r="G827" s="66">
        <v>0.196</v>
      </c>
      <c r="H827" s="66" t="s">
        <v>227</v>
      </c>
      <c r="I827" s="81">
        <f t="shared" si="1"/>
        <v>1.056632653</v>
      </c>
      <c r="J827" s="81">
        <f t="shared" si="2"/>
        <v>0.4862317043</v>
      </c>
    </row>
    <row r="828">
      <c r="A828" s="82">
        <v>44690.0</v>
      </c>
      <c r="B828" s="66">
        <v>2022.0</v>
      </c>
      <c r="C828" s="66">
        <v>2.0</v>
      </c>
      <c r="D828" s="66" t="s">
        <v>205</v>
      </c>
      <c r="E828" s="66">
        <v>1.0</v>
      </c>
      <c r="F828" s="66">
        <v>0.0681</v>
      </c>
      <c r="G828" s="66">
        <v>0.0331</v>
      </c>
      <c r="H828" s="66" t="s">
        <v>230</v>
      </c>
      <c r="I828" s="81">
        <f t="shared" si="1"/>
        <v>1.057401813</v>
      </c>
      <c r="J828" s="81">
        <f t="shared" si="2"/>
        <v>0.4860499266</v>
      </c>
    </row>
    <row r="829">
      <c r="A829" s="82">
        <v>44690.0</v>
      </c>
      <c r="B829" s="66">
        <v>2022.0</v>
      </c>
      <c r="C829" s="66">
        <v>2.0</v>
      </c>
      <c r="D829" s="66" t="s">
        <v>204</v>
      </c>
      <c r="E829" s="66">
        <v>0.0</v>
      </c>
      <c r="F829" s="66">
        <v>0.1708</v>
      </c>
      <c r="G829" s="66">
        <v>0.083</v>
      </c>
      <c r="I829" s="81">
        <f t="shared" si="1"/>
        <v>1.057831325</v>
      </c>
      <c r="J829" s="81">
        <f t="shared" si="2"/>
        <v>0.4859484778</v>
      </c>
    </row>
    <row r="830">
      <c r="A830" s="82">
        <v>44690.0</v>
      </c>
      <c r="B830" s="66">
        <v>2022.0</v>
      </c>
      <c r="C830" s="66">
        <v>2.0</v>
      </c>
      <c r="D830" s="66" t="s">
        <v>204</v>
      </c>
      <c r="E830" s="66">
        <v>1.0</v>
      </c>
      <c r="F830" s="66">
        <v>0.3411</v>
      </c>
      <c r="G830" s="66">
        <v>0.1657</v>
      </c>
      <c r="I830" s="81">
        <f t="shared" si="1"/>
        <v>1.058539529</v>
      </c>
      <c r="J830" s="81">
        <f t="shared" si="2"/>
        <v>0.4857812958</v>
      </c>
    </row>
    <row r="831">
      <c r="A831" s="82">
        <v>44690.0</v>
      </c>
      <c r="B831" s="66">
        <v>2022.0</v>
      </c>
      <c r="C831" s="66">
        <v>3.0</v>
      </c>
      <c r="D831" s="66" t="s">
        <v>205</v>
      </c>
      <c r="E831" s="66">
        <v>0.0</v>
      </c>
      <c r="F831" s="66">
        <v>0.3129</v>
      </c>
      <c r="G831" s="66">
        <v>0.152</v>
      </c>
      <c r="I831" s="81">
        <f t="shared" si="1"/>
        <v>1.058552632</v>
      </c>
      <c r="J831" s="81">
        <f t="shared" si="2"/>
        <v>0.4857782039</v>
      </c>
    </row>
    <row r="832">
      <c r="A832" s="82">
        <v>44690.0</v>
      </c>
      <c r="B832" s="66">
        <v>2022.0</v>
      </c>
      <c r="C832" s="66">
        <v>3.0</v>
      </c>
      <c r="D832" s="66" t="s">
        <v>205</v>
      </c>
      <c r="E832" s="66">
        <v>1.0</v>
      </c>
      <c r="F832" s="84">
        <v>0.703</v>
      </c>
      <c r="G832" s="66">
        <v>0.3415</v>
      </c>
      <c r="I832" s="81">
        <f t="shared" si="1"/>
        <v>1.058565154</v>
      </c>
      <c r="J832" s="81">
        <f t="shared" si="2"/>
        <v>0.4857752489</v>
      </c>
    </row>
    <row r="833">
      <c r="A833" s="82">
        <v>44690.0</v>
      </c>
      <c r="B833" s="66">
        <v>2022.0</v>
      </c>
      <c r="C833" s="66">
        <v>3.0</v>
      </c>
      <c r="D833" s="66" t="s">
        <v>204</v>
      </c>
      <c r="E833" s="66">
        <v>0.0</v>
      </c>
      <c r="F833" s="66">
        <v>0.1968</v>
      </c>
      <c r="G833" s="66">
        <v>0.0956</v>
      </c>
      <c r="I833" s="81">
        <f t="shared" si="1"/>
        <v>1.058577406</v>
      </c>
      <c r="J833" s="81">
        <f t="shared" si="2"/>
        <v>0.4857723577</v>
      </c>
    </row>
    <row r="834">
      <c r="A834" s="82">
        <v>44690.0</v>
      </c>
      <c r="B834" s="66">
        <v>2022.0</v>
      </c>
      <c r="C834" s="66">
        <v>3.0</v>
      </c>
      <c r="D834" s="66" t="s">
        <v>204</v>
      </c>
      <c r="E834" s="66">
        <v>1.0</v>
      </c>
      <c r="F834" s="66">
        <v>0.4622</v>
      </c>
      <c r="G834" s="66">
        <v>0.2245</v>
      </c>
      <c r="I834" s="81">
        <f t="shared" si="1"/>
        <v>1.058797327</v>
      </c>
      <c r="J834" s="81">
        <f t="shared" si="2"/>
        <v>0.4857204673</v>
      </c>
    </row>
    <row r="835">
      <c r="A835" s="82">
        <v>44690.0</v>
      </c>
      <c r="B835" s="66">
        <v>2023.0</v>
      </c>
      <c r="C835" s="66">
        <v>1.0</v>
      </c>
      <c r="D835" s="66" t="s">
        <v>205</v>
      </c>
      <c r="E835" s="66">
        <v>0.0</v>
      </c>
      <c r="F835" s="66">
        <v>0.175</v>
      </c>
      <c r="G835" s="66">
        <v>0.085</v>
      </c>
      <c r="H835" s="66" t="s">
        <v>227</v>
      </c>
      <c r="I835" s="81">
        <f t="shared" si="1"/>
        <v>1.058823529</v>
      </c>
      <c r="J835" s="81">
        <f t="shared" si="2"/>
        <v>0.4857142857</v>
      </c>
    </row>
    <row r="836">
      <c r="A836" s="82">
        <v>44690.0</v>
      </c>
      <c r="B836" s="66">
        <v>2023.0</v>
      </c>
      <c r="C836" s="66">
        <v>1.0</v>
      </c>
      <c r="D836" s="66" t="s">
        <v>205</v>
      </c>
      <c r="E836" s="66">
        <v>1.0</v>
      </c>
      <c r="F836" s="66">
        <v>1.1178</v>
      </c>
      <c r="G836" s="66">
        <v>0.5429</v>
      </c>
      <c r="I836" s="81">
        <f t="shared" si="1"/>
        <v>1.058942715</v>
      </c>
      <c r="J836" s="81">
        <f t="shared" si="2"/>
        <v>0.4856861693</v>
      </c>
    </row>
    <row r="837">
      <c r="A837" s="82">
        <v>44690.0</v>
      </c>
      <c r="B837" s="66">
        <v>2023.0</v>
      </c>
      <c r="C837" s="66">
        <v>1.0</v>
      </c>
      <c r="D837" s="66" t="s">
        <v>204</v>
      </c>
      <c r="E837" s="66">
        <v>0.0</v>
      </c>
      <c r="F837" s="66">
        <v>0.1351</v>
      </c>
      <c r="G837" s="66">
        <v>0.0656</v>
      </c>
      <c r="H837" s="66" t="s">
        <v>227</v>
      </c>
      <c r="I837" s="81">
        <f t="shared" si="1"/>
        <v>1.05945122</v>
      </c>
      <c r="J837" s="81">
        <f t="shared" si="2"/>
        <v>0.4855662472</v>
      </c>
    </row>
    <row r="838">
      <c r="A838" s="82">
        <v>44690.0</v>
      </c>
      <c r="B838" s="66">
        <v>2023.0</v>
      </c>
      <c r="C838" s="66">
        <v>1.0</v>
      </c>
      <c r="D838" s="66" t="s">
        <v>204</v>
      </c>
      <c r="E838" s="66">
        <v>1.0</v>
      </c>
      <c r="F838" s="66">
        <v>1.4232</v>
      </c>
      <c r="G838" s="84">
        <v>0.691</v>
      </c>
      <c r="I838" s="81">
        <f t="shared" si="1"/>
        <v>1.059623734</v>
      </c>
      <c r="J838" s="81">
        <f t="shared" si="2"/>
        <v>0.4855255762</v>
      </c>
    </row>
    <row r="839">
      <c r="A839" s="82">
        <v>44690.0</v>
      </c>
      <c r="B839" s="66">
        <v>2023.0</v>
      </c>
      <c r="C839" s="66">
        <v>2.0</v>
      </c>
      <c r="D839" s="66" t="s">
        <v>205</v>
      </c>
      <c r="E839" s="66">
        <v>1.0</v>
      </c>
      <c r="F839" s="66">
        <v>0.075</v>
      </c>
      <c r="G839" s="66">
        <v>0.0364</v>
      </c>
      <c r="H839" s="66" t="s">
        <v>227</v>
      </c>
      <c r="I839" s="81">
        <f t="shared" si="1"/>
        <v>1.06043956</v>
      </c>
      <c r="J839" s="81">
        <f t="shared" si="2"/>
        <v>0.4853333333</v>
      </c>
    </row>
    <row r="840">
      <c r="A840" s="82">
        <v>44690.0</v>
      </c>
      <c r="B840" s="66">
        <v>2023.0</v>
      </c>
      <c r="C840" s="66">
        <v>2.0</v>
      </c>
      <c r="D840" s="66" t="s">
        <v>204</v>
      </c>
      <c r="E840" s="66">
        <v>1.0</v>
      </c>
      <c r="F840" s="66">
        <v>0.1294</v>
      </c>
      <c r="G840" s="66">
        <v>0.0628</v>
      </c>
      <c r="I840" s="81">
        <f t="shared" si="1"/>
        <v>1.060509554</v>
      </c>
      <c r="J840" s="81">
        <f t="shared" si="2"/>
        <v>0.485316847</v>
      </c>
    </row>
    <row r="841">
      <c r="A841" s="82">
        <v>44690.0</v>
      </c>
      <c r="B841" s="66">
        <v>2023.0</v>
      </c>
      <c r="C841" s="66">
        <v>3.0</v>
      </c>
      <c r="D841" s="66" t="s">
        <v>205</v>
      </c>
      <c r="E841" s="66">
        <v>0.0</v>
      </c>
      <c r="F841" s="66">
        <v>0.3265</v>
      </c>
      <c r="G841" s="66">
        <v>0.1584</v>
      </c>
      <c r="I841" s="81">
        <f t="shared" si="1"/>
        <v>1.061237374</v>
      </c>
      <c r="J841" s="81">
        <f t="shared" si="2"/>
        <v>0.4851454824</v>
      </c>
    </row>
    <row r="842">
      <c r="A842" s="82">
        <v>44690.0</v>
      </c>
      <c r="B842" s="66">
        <v>2023.0</v>
      </c>
      <c r="C842" s="66">
        <v>3.0</v>
      </c>
      <c r="D842" s="66" t="s">
        <v>204</v>
      </c>
      <c r="E842" s="66">
        <v>0.0</v>
      </c>
      <c r="F842" s="66">
        <v>0.3094</v>
      </c>
      <c r="G842" s="66">
        <v>0.15</v>
      </c>
      <c r="I842" s="81">
        <f t="shared" si="1"/>
        <v>1.062666667</v>
      </c>
      <c r="J842" s="81">
        <f t="shared" si="2"/>
        <v>0.4848093083</v>
      </c>
    </row>
    <row r="843">
      <c r="A843" s="82">
        <v>44690.0</v>
      </c>
      <c r="B843" s="66">
        <v>2024.0</v>
      </c>
      <c r="C843" s="66">
        <v>1.0</v>
      </c>
      <c r="D843" s="66" t="s">
        <v>205</v>
      </c>
      <c r="E843" s="66">
        <v>0.0</v>
      </c>
      <c r="F843" s="66">
        <v>1.651</v>
      </c>
      <c r="G843" s="66">
        <v>0.8004</v>
      </c>
      <c r="H843" s="66" t="s">
        <v>226</v>
      </c>
      <c r="I843" s="81">
        <f t="shared" si="1"/>
        <v>1.062718641</v>
      </c>
      <c r="J843" s="81">
        <f t="shared" si="2"/>
        <v>0.4847970927</v>
      </c>
    </row>
    <row r="844">
      <c r="A844" s="82">
        <v>44690.0</v>
      </c>
      <c r="B844" s="66">
        <v>2024.0</v>
      </c>
      <c r="C844" s="66">
        <v>1.0</v>
      </c>
      <c r="D844" s="66" t="s">
        <v>204</v>
      </c>
      <c r="E844" s="66">
        <v>0.0</v>
      </c>
      <c r="F844" s="66">
        <v>1.05</v>
      </c>
      <c r="G844" s="66">
        <v>0.509</v>
      </c>
      <c r="H844" s="66" t="s">
        <v>227</v>
      </c>
      <c r="I844" s="81">
        <f t="shared" si="1"/>
        <v>1.062868369</v>
      </c>
      <c r="J844" s="81">
        <f t="shared" si="2"/>
        <v>0.4847619048</v>
      </c>
    </row>
    <row r="845">
      <c r="A845" s="82">
        <v>44690.0</v>
      </c>
      <c r="B845" s="66">
        <v>2024.0</v>
      </c>
      <c r="C845" s="66">
        <v>1.0</v>
      </c>
      <c r="D845" s="66" t="s">
        <v>204</v>
      </c>
      <c r="E845" s="66">
        <v>1.0</v>
      </c>
      <c r="F845" s="66">
        <v>0.1073</v>
      </c>
      <c r="G845" s="66">
        <v>0.052</v>
      </c>
      <c r="H845" s="66" t="s">
        <v>227</v>
      </c>
      <c r="I845" s="81">
        <f t="shared" si="1"/>
        <v>1.063461538</v>
      </c>
      <c r="J845" s="81">
        <f t="shared" si="2"/>
        <v>0.4846225536</v>
      </c>
    </row>
    <row r="846">
      <c r="A846" s="82">
        <v>44690.0</v>
      </c>
      <c r="B846" s="66">
        <v>2024.0</v>
      </c>
      <c r="C846" s="66">
        <v>2.0</v>
      </c>
      <c r="D846" s="66" t="s">
        <v>205</v>
      </c>
      <c r="E846" s="66">
        <v>0.0</v>
      </c>
      <c r="F846" s="66">
        <v>0.1063</v>
      </c>
      <c r="G846" s="66">
        <v>0.0515</v>
      </c>
      <c r="I846" s="81">
        <f t="shared" si="1"/>
        <v>1.06407767</v>
      </c>
      <c r="J846" s="81">
        <f t="shared" si="2"/>
        <v>0.4844778928</v>
      </c>
    </row>
    <row r="847">
      <c r="A847" s="82">
        <v>44690.0</v>
      </c>
      <c r="B847" s="66">
        <v>2024.0</v>
      </c>
      <c r="C847" s="66">
        <v>2.0</v>
      </c>
      <c r="D847" s="66" t="s">
        <v>204</v>
      </c>
      <c r="E847" s="66">
        <v>0.0</v>
      </c>
      <c r="F847" s="66">
        <v>0.2663</v>
      </c>
      <c r="G847" s="66">
        <v>0.129</v>
      </c>
      <c r="H847" s="66" t="s">
        <v>226</v>
      </c>
      <c r="I847" s="81">
        <f t="shared" si="1"/>
        <v>1.064341085</v>
      </c>
      <c r="J847" s="81">
        <f t="shared" si="2"/>
        <v>0.4844160721</v>
      </c>
    </row>
    <row r="848">
      <c r="A848" s="82">
        <v>44690.0</v>
      </c>
      <c r="B848" s="66">
        <v>2024.0</v>
      </c>
      <c r="C848" s="66">
        <v>2.0</v>
      </c>
      <c r="D848" s="66" t="s">
        <v>204</v>
      </c>
      <c r="E848" s="66">
        <v>1.0</v>
      </c>
      <c r="F848" s="66">
        <v>0.4792</v>
      </c>
      <c r="G848" s="66">
        <v>0.232</v>
      </c>
      <c r="H848" s="66" t="s">
        <v>226</v>
      </c>
      <c r="I848" s="81">
        <f t="shared" si="1"/>
        <v>1.065517241</v>
      </c>
      <c r="J848" s="81">
        <f t="shared" si="2"/>
        <v>0.4841402337</v>
      </c>
    </row>
    <row r="849">
      <c r="A849" s="82">
        <v>44690.0</v>
      </c>
      <c r="B849" s="66">
        <v>2024.0</v>
      </c>
      <c r="C849" s="66">
        <v>3.0</v>
      </c>
      <c r="D849" s="66" t="s">
        <v>205</v>
      </c>
      <c r="E849" s="66">
        <v>0.0</v>
      </c>
      <c r="F849" s="66">
        <v>0.34</v>
      </c>
      <c r="G849" s="66">
        <v>0.1646</v>
      </c>
      <c r="H849" s="66" t="s">
        <v>226</v>
      </c>
      <c r="I849" s="81">
        <f t="shared" si="1"/>
        <v>1.065613609</v>
      </c>
      <c r="J849" s="81">
        <f t="shared" si="2"/>
        <v>0.4841176471</v>
      </c>
    </row>
    <row r="850">
      <c r="A850" s="82">
        <v>44690.0</v>
      </c>
      <c r="B850" s="66">
        <v>2024.0</v>
      </c>
      <c r="C850" s="66">
        <v>3.0</v>
      </c>
      <c r="D850" s="66" t="s">
        <v>204</v>
      </c>
      <c r="E850" s="66">
        <v>0.0</v>
      </c>
      <c r="F850" s="66">
        <v>2.0733</v>
      </c>
      <c r="G850" s="66">
        <v>1.0037</v>
      </c>
      <c r="I850" s="81">
        <f t="shared" si="1"/>
        <v>1.065657069</v>
      </c>
      <c r="J850" s="81">
        <f t="shared" si="2"/>
        <v>0.4841074615</v>
      </c>
    </row>
    <row r="851">
      <c r="A851" s="82">
        <v>44690.0</v>
      </c>
      <c r="B851" s="66">
        <v>2024.0</v>
      </c>
      <c r="C851" s="66">
        <v>3.0</v>
      </c>
      <c r="D851" s="66" t="s">
        <v>204</v>
      </c>
      <c r="E851" s="66">
        <v>1.0</v>
      </c>
      <c r="F851" s="66">
        <v>0.0847</v>
      </c>
      <c r="G851" s="66">
        <v>0.041</v>
      </c>
      <c r="H851" s="66" t="s">
        <v>227</v>
      </c>
      <c r="I851" s="81">
        <f t="shared" si="1"/>
        <v>1.065853659</v>
      </c>
      <c r="J851" s="81">
        <f t="shared" si="2"/>
        <v>0.4840613932</v>
      </c>
    </row>
    <row r="852">
      <c r="A852" s="82">
        <v>44690.0</v>
      </c>
      <c r="B852" s="66">
        <v>2025.0</v>
      </c>
      <c r="C852" s="66">
        <v>1.0</v>
      </c>
      <c r="D852" s="66" t="s">
        <v>205</v>
      </c>
      <c r="E852" s="66">
        <v>0.0</v>
      </c>
      <c r="F852" s="66">
        <v>0.0469</v>
      </c>
      <c r="G852" s="66">
        <v>0.0227</v>
      </c>
      <c r="H852" s="66" t="s">
        <v>230</v>
      </c>
      <c r="I852" s="81">
        <f t="shared" si="1"/>
        <v>1.066079295</v>
      </c>
      <c r="J852" s="81">
        <f t="shared" si="2"/>
        <v>0.4840085288</v>
      </c>
    </row>
    <row r="853">
      <c r="A853" s="82">
        <v>44690.0</v>
      </c>
      <c r="B853" s="66">
        <v>2025.0</v>
      </c>
      <c r="C853" s="66">
        <v>1.0</v>
      </c>
      <c r="D853" s="66" t="s">
        <v>204</v>
      </c>
      <c r="E853" s="66">
        <v>0.0</v>
      </c>
      <c r="F853" s="66">
        <v>0.2376</v>
      </c>
      <c r="G853" s="66">
        <v>0.115</v>
      </c>
      <c r="H853" s="66" t="s">
        <v>227</v>
      </c>
      <c r="I853" s="81">
        <f t="shared" si="1"/>
        <v>1.066086957</v>
      </c>
      <c r="J853" s="81">
        <f t="shared" si="2"/>
        <v>0.484006734</v>
      </c>
    </row>
    <row r="854">
      <c r="A854" s="82">
        <v>44690.0</v>
      </c>
      <c r="B854" s="66">
        <v>2025.0</v>
      </c>
      <c r="C854" s="66">
        <v>1.0</v>
      </c>
      <c r="D854" s="66" t="s">
        <v>204</v>
      </c>
      <c r="E854" s="66">
        <v>1.0</v>
      </c>
      <c r="F854" s="66">
        <v>0.0715</v>
      </c>
      <c r="G854" s="66">
        <v>0.0346</v>
      </c>
      <c r="H854" s="66" t="s">
        <v>230</v>
      </c>
      <c r="I854" s="81">
        <f t="shared" si="1"/>
        <v>1.066473988</v>
      </c>
      <c r="J854" s="81">
        <f t="shared" si="2"/>
        <v>0.4839160839</v>
      </c>
    </row>
    <row r="855">
      <c r="A855" s="82">
        <v>44690.0</v>
      </c>
      <c r="B855" s="66">
        <v>2025.0</v>
      </c>
      <c r="C855" s="66">
        <v>2.0</v>
      </c>
      <c r="D855" s="66" t="s">
        <v>205</v>
      </c>
      <c r="E855" s="66">
        <v>0.0</v>
      </c>
      <c r="F855" s="66">
        <v>0.6946</v>
      </c>
      <c r="G855" s="66">
        <v>0.3361</v>
      </c>
      <c r="H855" s="66" t="s">
        <v>226</v>
      </c>
      <c r="I855" s="81">
        <f t="shared" si="1"/>
        <v>1.066646831</v>
      </c>
      <c r="J855" s="81">
        <f t="shared" si="2"/>
        <v>0.4838756119</v>
      </c>
    </row>
    <row r="856">
      <c r="A856" s="82">
        <v>44690.0</v>
      </c>
      <c r="B856" s="66">
        <v>2025.0</v>
      </c>
      <c r="C856" s="66">
        <v>2.0</v>
      </c>
      <c r="D856" s="66" t="s">
        <v>204</v>
      </c>
      <c r="E856" s="66">
        <v>0.0</v>
      </c>
      <c r="F856" s="66">
        <v>0.1116</v>
      </c>
      <c r="G856" s="84">
        <v>0.054</v>
      </c>
      <c r="I856" s="81">
        <f t="shared" si="1"/>
        <v>1.066666667</v>
      </c>
      <c r="J856" s="81">
        <f t="shared" si="2"/>
        <v>0.4838709677</v>
      </c>
    </row>
    <row r="857">
      <c r="A857" s="82">
        <v>44690.0</v>
      </c>
      <c r="B857" s="66">
        <v>2025.0</v>
      </c>
      <c r="C857" s="66">
        <v>2.0</v>
      </c>
      <c r="D857" s="66" t="s">
        <v>204</v>
      </c>
      <c r="E857" s="66">
        <v>1.0</v>
      </c>
      <c r="F857" s="66">
        <v>0.0951</v>
      </c>
      <c r="G857" s="66">
        <v>0.046</v>
      </c>
      <c r="I857" s="81">
        <f t="shared" si="1"/>
        <v>1.067391304</v>
      </c>
      <c r="J857" s="81">
        <f t="shared" si="2"/>
        <v>0.483701367</v>
      </c>
    </row>
    <row r="858">
      <c r="A858" s="82">
        <v>44690.0</v>
      </c>
      <c r="B858" s="66">
        <v>2025.0</v>
      </c>
      <c r="C858" s="66">
        <v>3.0</v>
      </c>
      <c r="D858" s="66" t="s">
        <v>205</v>
      </c>
      <c r="E858" s="66">
        <v>0.0</v>
      </c>
      <c r="F858" s="66">
        <v>1.2847</v>
      </c>
      <c r="G858" s="66">
        <v>0.6212</v>
      </c>
      <c r="I858" s="81">
        <f t="shared" si="1"/>
        <v>1.068094012</v>
      </c>
      <c r="J858" s="81">
        <f t="shared" si="2"/>
        <v>0.4835370125</v>
      </c>
    </row>
    <row r="859">
      <c r="A859" s="82">
        <v>44690.0</v>
      </c>
      <c r="B859" s="66">
        <v>2025.0</v>
      </c>
      <c r="C859" s="66">
        <v>3.0</v>
      </c>
      <c r="D859" s="66" t="s">
        <v>204</v>
      </c>
      <c r="E859" s="66">
        <v>0.0</v>
      </c>
      <c r="F859" s="66">
        <v>2.363</v>
      </c>
      <c r="G859" s="66">
        <v>1.1424</v>
      </c>
      <c r="I859" s="81">
        <f t="shared" si="1"/>
        <v>1.068452381</v>
      </c>
      <c r="J859" s="81">
        <f t="shared" si="2"/>
        <v>0.4834532374</v>
      </c>
    </row>
    <row r="860">
      <c r="A860" s="82">
        <v>44690.0</v>
      </c>
      <c r="B860" s="66">
        <v>2025.0</v>
      </c>
      <c r="C860" s="66">
        <v>3.0</v>
      </c>
      <c r="D860" s="66" t="s">
        <v>204</v>
      </c>
      <c r="E860" s="66">
        <v>1.0</v>
      </c>
      <c r="F860" s="66">
        <v>1.2377</v>
      </c>
      <c r="G860" s="66">
        <v>0.5983</v>
      </c>
      <c r="I860" s="81">
        <f t="shared" si="1"/>
        <v>1.068694635</v>
      </c>
      <c r="J860" s="81">
        <f t="shared" si="2"/>
        <v>0.4833966228</v>
      </c>
    </row>
    <row r="861">
      <c r="A861" s="82">
        <v>44690.0</v>
      </c>
      <c r="B861" s="66">
        <v>2026.0</v>
      </c>
      <c r="C861" s="66">
        <v>1.0</v>
      </c>
      <c r="D861" s="66" t="s">
        <v>205</v>
      </c>
      <c r="E861" s="66">
        <v>0.0</v>
      </c>
      <c r="F861" s="66">
        <v>0.1795</v>
      </c>
      <c r="G861" s="66">
        <v>0.0867</v>
      </c>
      <c r="H861" s="66" t="s">
        <v>226</v>
      </c>
      <c r="I861" s="81">
        <f t="shared" si="1"/>
        <v>1.070357555</v>
      </c>
      <c r="J861" s="81">
        <f t="shared" si="2"/>
        <v>0.4830083565</v>
      </c>
    </row>
    <row r="862">
      <c r="A862" s="82">
        <v>44690.0</v>
      </c>
      <c r="B862" s="66">
        <v>2026.0</v>
      </c>
      <c r="C862" s="66">
        <v>1.0</v>
      </c>
      <c r="D862" s="66" t="s">
        <v>204</v>
      </c>
      <c r="E862" s="66">
        <v>0.0</v>
      </c>
      <c r="F862" s="66">
        <v>0.145</v>
      </c>
      <c r="G862" s="66">
        <v>0.07</v>
      </c>
      <c r="I862" s="81">
        <f t="shared" si="1"/>
        <v>1.071428571</v>
      </c>
      <c r="J862" s="81">
        <f t="shared" si="2"/>
        <v>0.4827586207</v>
      </c>
    </row>
    <row r="863">
      <c r="A863" s="82">
        <v>44690.0</v>
      </c>
      <c r="B863" s="66">
        <v>2026.0</v>
      </c>
      <c r="C863" s="66">
        <v>1.0</v>
      </c>
      <c r="D863" s="66" t="s">
        <v>204</v>
      </c>
      <c r="E863" s="66">
        <v>1.0</v>
      </c>
      <c r="F863" s="66">
        <v>0.143</v>
      </c>
      <c r="G863" s="66">
        <v>0.069</v>
      </c>
      <c r="H863" s="66" t="s">
        <v>227</v>
      </c>
      <c r="I863" s="81">
        <f t="shared" si="1"/>
        <v>1.072463768</v>
      </c>
      <c r="J863" s="81">
        <f t="shared" si="2"/>
        <v>0.4825174825</v>
      </c>
    </row>
    <row r="864">
      <c r="A864" s="82">
        <v>44690.0</v>
      </c>
      <c r="B864" s="66">
        <v>2026.0</v>
      </c>
      <c r="C864" s="66">
        <v>2.0</v>
      </c>
      <c r="D864" s="66" t="s">
        <v>205</v>
      </c>
      <c r="E864" s="66">
        <v>0.0</v>
      </c>
      <c r="F864" s="66">
        <v>0.1656</v>
      </c>
      <c r="G864" s="66">
        <v>0.0799</v>
      </c>
      <c r="H864" s="66" t="s">
        <v>227</v>
      </c>
      <c r="I864" s="81">
        <f t="shared" si="1"/>
        <v>1.072590738</v>
      </c>
      <c r="J864" s="81">
        <f t="shared" si="2"/>
        <v>0.4824879227</v>
      </c>
    </row>
    <row r="865">
      <c r="A865" s="82">
        <v>44690.0</v>
      </c>
      <c r="B865" s="66">
        <v>2026.0</v>
      </c>
      <c r="C865" s="66">
        <v>2.0</v>
      </c>
      <c r="D865" s="66" t="s">
        <v>204</v>
      </c>
      <c r="E865" s="66">
        <v>0.0</v>
      </c>
      <c r="F865" s="66">
        <v>0.1534</v>
      </c>
      <c r="G865" s="66">
        <v>0.074</v>
      </c>
      <c r="I865" s="81">
        <f t="shared" si="1"/>
        <v>1.072972973</v>
      </c>
      <c r="J865" s="81">
        <f t="shared" si="2"/>
        <v>0.482398957</v>
      </c>
    </row>
    <row r="866">
      <c r="A866" s="82">
        <v>44690.0</v>
      </c>
      <c r="B866" s="66">
        <v>2026.0</v>
      </c>
      <c r="C866" s="66">
        <v>2.0</v>
      </c>
      <c r="D866" s="66" t="s">
        <v>204</v>
      </c>
      <c r="E866" s="66">
        <v>1.0</v>
      </c>
      <c r="F866" s="66">
        <v>0.9794</v>
      </c>
      <c r="G866" s="66">
        <v>0.4723</v>
      </c>
      <c r="I866" s="81">
        <f t="shared" si="1"/>
        <v>1.073681982</v>
      </c>
      <c r="J866" s="81">
        <f t="shared" si="2"/>
        <v>0.4822340208</v>
      </c>
    </row>
    <row r="867">
      <c r="A867" s="82">
        <v>44690.0</v>
      </c>
      <c r="B867" s="66">
        <v>2026.0</v>
      </c>
      <c r="C867" s="66">
        <v>3.0</v>
      </c>
      <c r="D867" s="66" t="s">
        <v>205</v>
      </c>
      <c r="E867" s="66">
        <v>0.0</v>
      </c>
      <c r="F867" s="66">
        <v>0.253</v>
      </c>
      <c r="G867" s="66">
        <v>0.122</v>
      </c>
      <c r="H867" s="66" t="s">
        <v>227</v>
      </c>
      <c r="I867" s="81">
        <f t="shared" si="1"/>
        <v>1.073770492</v>
      </c>
      <c r="J867" s="81">
        <f t="shared" si="2"/>
        <v>0.4822134387</v>
      </c>
    </row>
    <row r="868">
      <c r="A868" s="82">
        <v>44690.0</v>
      </c>
      <c r="B868" s="66">
        <v>2026.0</v>
      </c>
      <c r="C868" s="66">
        <v>3.0</v>
      </c>
      <c r="D868" s="66" t="s">
        <v>204</v>
      </c>
      <c r="E868" s="66">
        <v>0.0</v>
      </c>
      <c r="F868" s="66">
        <v>0.056</v>
      </c>
      <c r="G868" s="66">
        <v>0.027</v>
      </c>
      <c r="H868" s="66" t="s">
        <v>227</v>
      </c>
      <c r="I868" s="81">
        <f t="shared" si="1"/>
        <v>1.074074074</v>
      </c>
      <c r="J868" s="81">
        <f t="shared" si="2"/>
        <v>0.4821428571</v>
      </c>
    </row>
    <row r="869">
      <c r="A869" s="82">
        <v>44690.0</v>
      </c>
      <c r="B869" s="66">
        <v>2026.0</v>
      </c>
      <c r="C869" s="66">
        <v>3.0</v>
      </c>
      <c r="D869" s="66" t="s">
        <v>204</v>
      </c>
      <c r="E869" s="66">
        <v>1.0</v>
      </c>
      <c r="F869" s="66">
        <v>0.2314</v>
      </c>
      <c r="G869" s="66">
        <v>0.1115</v>
      </c>
      <c r="H869" s="66" t="s">
        <v>226</v>
      </c>
      <c r="I869" s="81">
        <f t="shared" si="1"/>
        <v>1.075336323</v>
      </c>
      <c r="J869" s="81">
        <f t="shared" si="2"/>
        <v>0.4818496111</v>
      </c>
    </row>
    <row r="870">
      <c r="A870" s="82">
        <v>44690.0</v>
      </c>
      <c r="B870" s="66">
        <v>2027.0</v>
      </c>
      <c r="C870" s="66">
        <v>1.0</v>
      </c>
      <c r="D870" s="66" t="s">
        <v>205</v>
      </c>
      <c r="E870" s="66">
        <v>0.0</v>
      </c>
      <c r="F870" s="66">
        <v>0.0519</v>
      </c>
      <c r="G870" s="66">
        <v>0.025</v>
      </c>
      <c r="I870" s="81">
        <f t="shared" si="1"/>
        <v>1.076</v>
      </c>
      <c r="J870" s="81">
        <f t="shared" si="2"/>
        <v>0.4816955684</v>
      </c>
    </row>
    <row r="871">
      <c r="A871" s="82">
        <v>44690.0</v>
      </c>
      <c r="B871" s="66">
        <v>2027.0</v>
      </c>
      <c r="C871" s="66">
        <v>1.0</v>
      </c>
      <c r="D871" s="66" t="s">
        <v>204</v>
      </c>
      <c r="E871" s="66">
        <v>0.0</v>
      </c>
      <c r="F871" s="66">
        <v>2.8076</v>
      </c>
      <c r="G871" s="66">
        <v>1.3516</v>
      </c>
      <c r="H871" s="66" t="s">
        <v>226</v>
      </c>
      <c r="I871" s="81">
        <f t="shared" si="1"/>
        <v>1.077241788</v>
      </c>
      <c r="J871" s="81">
        <f t="shared" si="2"/>
        <v>0.4814076079</v>
      </c>
    </row>
    <row r="872">
      <c r="A872" s="82">
        <v>44690.0</v>
      </c>
      <c r="B872" s="66">
        <v>2027.0</v>
      </c>
      <c r="C872" s="66">
        <v>1.0</v>
      </c>
      <c r="D872" s="66" t="s">
        <v>204</v>
      </c>
      <c r="E872" s="66">
        <v>1.0</v>
      </c>
      <c r="F872" s="66">
        <v>0.2396</v>
      </c>
      <c r="G872" s="66">
        <v>0.1153</v>
      </c>
      <c r="I872" s="81">
        <f t="shared" si="1"/>
        <v>1.078057242</v>
      </c>
      <c r="J872" s="81">
        <f t="shared" si="2"/>
        <v>0.4812186978</v>
      </c>
    </row>
    <row r="873">
      <c r="A873" s="82">
        <v>44690.0</v>
      </c>
      <c r="B873" s="66">
        <v>2027.0</v>
      </c>
      <c r="C873" s="66">
        <v>2.0</v>
      </c>
      <c r="D873" s="66" t="s">
        <v>205</v>
      </c>
      <c r="E873" s="66">
        <v>0.0</v>
      </c>
      <c r="F873" s="66">
        <v>0.3263</v>
      </c>
      <c r="G873" s="66">
        <v>0.157</v>
      </c>
      <c r="H873" s="66" t="s">
        <v>227</v>
      </c>
      <c r="I873" s="81">
        <f t="shared" si="1"/>
        <v>1.078343949</v>
      </c>
      <c r="J873" s="81">
        <f t="shared" si="2"/>
        <v>0.4811523138</v>
      </c>
    </row>
    <row r="874">
      <c r="A874" s="82">
        <v>44690.0</v>
      </c>
      <c r="B874" s="66">
        <v>2027.0</v>
      </c>
      <c r="C874" s="66">
        <v>2.0</v>
      </c>
      <c r="D874" s="66" t="s">
        <v>204</v>
      </c>
      <c r="E874" s="66">
        <v>0.0</v>
      </c>
      <c r="F874" s="66">
        <v>1.2608</v>
      </c>
      <c r="G874" s="66">
        <v>0.6066</v>
      </c>
      <c r="H874" s="66" t="s">
        <v>226</v>
      </c>
      <c r="I874" s="81">
        <f t="shared" si="1"/>
        <v>1.078470162</v>
      </c>
      <c r="J874" s="81">
        <f t="shared" si="2"/>
        <v>0.4811230964</v>
      </c>
    </row>
    <row r="875">
      <c r="A875" s="82">
        <v>44690.0</v>
      </c>
      <c r="B875" s="66">
        <v>2027.0</v>
      </c>
      <c r="C875" s="66">
        <v>2.0</v>
      </c>
      <c r="D875" s="66" t="s">
        <v>204</v>
      </c>
      <c r="E875" s="66">
        <v>1.0</v>
      </c>
      <c r="F875" s="66">
        <v>0.1746</v>
      </c>
      <c r="G875" s="66">
        <v>0.084</v>
      </c>
      <c r="H875" s="66" t="s">
        <v>227</v>
      </c>
      <c r="I875" s="81">
        <f t="shared" si="1"/>
        <v>1.078571429</v>
      </c>
      <c r="J875" s="81">
        <f t="shared" si="2"/>
        <v>0.4810996564</v>
      </c>
    </row>
    <row r="876">
      <c r="A876" s="82">
        <v>44690.0</v>
      </c>
      <c r="B876" s="66">
        <v>2027.0</v>
      </c>
      <c r="C876" s="66">
        <v>3.0</v>
      </c>
      <c r="D876" s="66" t="s">
        <v>205</v>
      </c>
      <c r="E876" s="66">
        <v>0.0</v>
      </c>
      <c r="F876" s="66">
        <v>0.1082</v>
      </c>
      <c r="G876" s="66">
        <v>0.052</v>
      </c>
      <c r="H876" s="66" t="s">
        <v>227</v>
      </c>
      <c r="I876" s="81">
        <f t="shared" si="1"/>
        <v>1.080769231</v>
      </c>
      <c r="J876" s="81">
        <f t="shared" si="2"/>
        <v>0.4805914972</v>
      </c>
    </row>
    <row r="877">
      <c r="A877" s="82">
        <v>44690.0</v>
      </c>
      <c r="B877" s="66">
        <v>2027.0</v>
      </c>
      <c r="C877" s="66">
        <v>3.0</v>
      </c>
      <c r="D877" s="66" t="s">
        <v>204</v>
      </c>
      <c r="E877" s="66">
        <v>0.0</v>
      </c>
      <c r="F877" s="66">
        <v>0.1023</v>
      </c>
      <c r="G877" s="66">
        <v>0.0491</v>
      </c>
      <c r="I877" s="81">
        <f t="shared" si="1"/>
        <v>1.083503055</v>
      </c>
      <c r="J877" s="81">
        <f t="shared" si="2"/>
        <v>0.4799608993</v>
      </c>
    </row>
    <row r="878">
      <c r="A878" s="82">
        <v>44690.0</v>
      </c>
      <c r="B878" s="66">
        <v>2027.0</v>
      </c>
      <c r="C878" s="66">
        <v>3.0</v>
      </c>
      <c r="D878" s="66" t="s">
        <v>204</v>
      </c>
      <c r="E878" s="66">
        <v>1.0</v>
      </c>
      <c r="F878" s="66">
        <v>0.0748</v>
      </c>
      <c r="G878" s="66">
        <v>0.0359</v>
      </c>
      <c r="I878" s="81">
        <f t="shared" si="1"/>
        <v>1.08356546</v>
      </c>
      <c r="J878" s="81">
        <f t="shared" si="2"/>
        <v>0.4799465241</v>
      </c>
    </row>
    <row r="879">
      <c r="A879" s="82">
        <v>44690.0</v>
      </c>
      <c r="B879" s="66">
        <v>2028.0</v>
      </c>
      <c r="C879" s="66">
        <v>1.0</v>
      </c>
      <c r="D879" s="66" t="s">
        <v>205</v>
      </c>
      <c r="E879" s="66">
        <v>0.0</v>
      </c>
      <c r="F879" s="66">
        <v>0.3115</v>
      </c>
      <c r="G879" s="66">
        <v>0.1495</v>
      </c>
      <c r="H879" s="66" t="s">
        <v>226</v>
      </c>
      <c r="I879" s="81">
        <f t="shared" si="1"/>
        <v>1.08361204</v>
      </c>
      <c r="J879" s="81">
        <f t="shared" si="2"/>
        <v>0.4799357945</v>
      </c>
    </row>
    <row r="880">
      <c r="A880" s="82">
        <v>44690.0</v>
      </c>
      <c r="B880" s="66">
        <v>2028.0</v>
      </c>
      <c r="C880" s="66">
        <v>1.0</v>
      </c>
      <c r="D880" s="66" t="s">
        <v>204</v>
      </c>
      <c r="E880" s="66">
        <v>0.0</v>
      </c>
      <c r="F880" s="66">
        <v>0.8364</v>
      </c>
      <c r="G880" s="66">
        <v>0.4013</v>
      </c>
      <c r="H880" s="66" t="s">
        <v>230</v>
      </c>
      <c r="I880" s="81">
        <f t="shared" si="1"/>
        <v>1.084226265</v>
      </c>
      <c r="J880" s="81">
        <f t="shared" si="2"/>
        <v>0.4797943568</v>
      </c>
    </row>
    <row r="881">
      <c r="A881" s="82">
        <v>44690.0</v>
      </c>
      <c r="B881" s="66">
        <v>2028.0</v>
      </c>
      <c r="C881" s="66">
        <v>1.0</v>
      </c>
      <c r="D881" s="66" t="s">
        <v>204</v>
      </c>
      <c r="E881" s="66">
        <v>1.0</v>
      </c>
      <c r="F881" s="66">
        <v>0.711</v>
      </c>
      <c r="G881" s="66">
        <v>0.341</v>
      </c>
      <c r="H881" s="66" t="s">
        <v>227</v>
      </c>
      <c r="I881" s="81">
        <f t="shared" si="1"/>
        <v>1.085043988</v>
      </c>
      <c r="J881" s="81">
        <f t="shared" si="2"/>
        <v>0.4796061885</v>
      </c>
    </row>
    <row r="882">
      <c r="A882" s="82">
        <v>44690.0</v>
      </c>
      <c r="B882" s="66">
        <v>2028.0</v>
      </c>
      <c r="C882" s="66">
        <v>2.0</v>
      </c>
      <c r="D882" s="66" t="s">
        <v>205</v>
      </c>
      <c r="E882" s="66">
        <v>0.0</v>
      </c>
      <c r="F882" s="66">
        <v>0.0584</v>
      </c>
      <c r="G882" s="66">
        <v>0.028</v>
      </c>
      <c r="H882" s="66" t="s">
        <v>230</v>
      </c>
      <c r="I882" s="81">
        <f t="shared" si="1"/>
        <v>1.085714286</v>
      </c>
      <c r="J882" s="81">
        <f t="shared" si="2"/>
        <v>0.4794520548</v>
      </c>
    </row>
    <row r="883">
      <c r="A883" s="82">
        <v>44690.0</v>
      </c>
      <c r="B883" s="66">
        <v>2028.0</v>
      </c>
      <c r="C883" s="66">
        <v>2.0</v>
      </c>
      <c r="D883" s="66" t="s">
        <v>205</v>
      </c>
      <c r="E883" s="66">
        <v>0.0</v>
      </c>
      <c r="F883" s="66">
        <v>0.1481</v>
      </c>
      <c r="G883" s="66">
        <v>0.071</v>
      </c>
      <c r="H883" s="66" t="s">
        <v>227</v>
      </c>
      <c r="I883" s="81">
        <f t="shared" si="1"/>
        <v>1.085915493</v>
      </c>
      <c r="J883" s="81">
        <f t="shared" si="2"/>
        <v>0.4794058069</v>
      </c>
    </row>
    <row r="884">
      <c r="A884" s="82">
        <v>44690.0</v>
      </c>
      <c r="B884" s="66">
        <v>2028.0</v>
      </c>
      <c r="C884" s="66">
        <v>2.0</v>
      </c>
      <c r="D884" s="66" t="s">
        <v>204</v>
      </c>
      <c r="E884" s="66">
        <v>0.0</v>
      </c>
      <c r="F884" s="66">
        <v>0.0891</v>
      </c>
      <c r="G884" s="66">
        <v>0.0427</v>
      </c>
      <c r="I884" s="81">
        <f t="shared" si="1"/>
        <v>1.086651054</v>
      </c>
      <c r="J884" s="81">
        <f t="shared" si="2"/>
        <v>0.4792368126</v>
      </c>
    </row>
    <row r="885">
      <c r="A885" s="82">
        <v>44690.0</v>
      </c>
      <c r="B885" s="66">
        <v>2028.0</v>
      </c>
      <c r="C885" s="66">
        <v>2.0</v>
      </c>
      <c r="D885" s="66" t="s">
        <v>204</v>
      </c>
      <c r="E885" s="66">
        <v>1.0</v>
      </c>
      <c r="F885" s="66">
        <v>0.602</v>
      </c>
      <c r="G885" s="66">
        <v>0.2885</v>
      </c>
      <c r="I885" s="81">
        <f t="shared" si="1"/>
        <v>1.086655113</v>
      </c>
      <c r="J885" s="81">
        <f t="shared" si="2"/>
        <v>0.4792358804</v>
      </c>
    </row>
    <row r="886">
      <c r="A886" s="82">
        <v>44690.0</v>
      </c>
      <c r="B886" s="66">
        <v>2028.0</v>
      </c>
      <c r="C886" s="66">
        <v>2.0</v>
      </c>
      <c r="D886" s="66" t="s">
        <v>204</v>
      </c>
      <c r="E886" s="66">
        <v>1.0</v>
      </c>
      <c r="F886" s="66">
        <v>0.048</v>
      </c>
      <c r="G886" s="66">
        <v>0.023</v>
      </c>
      <c r="I886" s="81">
        <f t="shared" si="1"/>
        <v>1.086956522</v>
      </c>
      <c r="J886" s="81">
        <f t="shared" si="2"/>
        <v>0.4791666667</v>
      </c>
    </row>
    <row r="887">
      <c r="A887" s="82">
        <v>44690.0</v>
      </c>
      <c r="B887" s="66">
        <v>2028.0</v>
      </c>
      <c r="C887" s="66">
        <v>3.0</v>
      </c>
      <c r="D887" s="66" t="s">
        <v>205</v>
      </c>
      <c r="E887" s="66">
        <v>0.0</v>
      </c>
      <c r="F887" s="66">
        <v>0.1292</v>
      </c>
      <c r="G887" s="66">
        <v>0.0619</v>
      </c>
      <c r="I887" s="81">
        <f t="shared" si="1"/>
        <v>1.08723748</v>
      </c>
      <c r="J887" s="81">
        <f t="shared" si="2"/>
        <v>0.4791021672</v>
      </c>
    </row>
    <row r="888">
      <c r="A888" s="82">
        <v>44690.0</v>
      </c>
      <c r="B888" s="66">
        <v>2028.0</v>
      </c>
      <c r="C888" s="66">
        <v>3.0</v>
      </c>
      <c r="D888" s="66" t="s">
        <v>204</v>
      </c>
      <c r="E888" s="66">
        <v>0.0</v>
      </c>
      <c r="F888" s="66">
        <v>0.6672</v>
      </c>
      <c r="G888" s="66">
        <v>0.3196</v>
      </c>
      <c r="H888" s="66" t="s">
        <v>226</v>
      </c>
      <c r="I888" s="81">
        <f t="shared" si="1"/>
        <v>1.087609512</v>
      </c>
      <c r="J888" s="81">
        <f t="shared" si="2"/>
        <v>0.4790167866</v>
      </c>
    </row>
    <row r="889">
      <c r="A889" s="82">
        <v>44690.0</v>
      </c>
      <c r="B889" s="66">
        <v>2028.0</v>
      </c>
      <c r="C889" s="66">
        <v>3.0</v>
      </c>
      <c r="D889" s="66" t="s">
        <v>204</v>
      </c>
      <c r="E889" s="66">
        <v>0.0</v>
      </c>
      <c r="F889" s="66">
        <v>1.3069</v>
      </c>
      <c r="G889" s="66">
        <v>0.6255</v>
      </c>
      <c r="H889" s="66" t="s">
        <v>226</v>
      </c>
      <c r="I889" s="81">
        <f t="shared" si="1"/>
        <v>1.089368505</v>
      </c>
      <c r="J889" s="81">
        <f t="shared" si="2"/>
        <v>0.4786135129</v>
      </c>
    </row>
    <row r="890">
      <c r="A890" s="82">
        <v>44690.0</v>
      </c>
      <c r="B890" s="66">
        <v>2029.0</v>
      </c>
      <c r="C890" s="66">
        <v>1.0</v>
      </c>
      <c r="D890" s="66" t="s">
        <v>205</v>
      </c>
      <c r="E890" s="66">
        <v>0.0</v>
      </c>
      <c r="F890" s="66">
        <v>0.7021</v>
      </c>
      <c r="G890" s="84">
        <v>0.336</v>
      </c>
      <c r="I890" s="81">
        <f t="shared" si="1"/>
        <v>1.089583333</v>
      </c>
      <c r="J890" s="81">
        <f t="shared" si="2"/>
        <v>0.4785643071</v>
      </c>
    </row>
    <row r="891">
      <c r="A891" s="82">
        <v>44690.0</v>
      </c>
      <c r="B891" s="66">
        <v>2029.0</v>
      </c>
      <c r="C891" s="66">
        <v>1.0</v>
      </c>
      <c r="D891" s="66" t="s">
        <v>204</v>
      </c>
      <c r="E891" s="66">
        <v>0.0</v>
      </c>
      <c r="F891" s="66">
        <v>0.4823</v>
      </c>
      <c r="G891" s="66">
        <v>0.2307</v>
      </c>
      <c r="I891" s="81">
        <f t="shared" si="1"/>
        <v>1.090593845</v>
      </c>
      <c r="J891" s="81">
        <f t="shared" si="2"/>
        <v>0.4783329878</v>
      </c>
    </row>
    <row r="892">
      <c r="A892" s="82">
        <v>44690.0</v>
      </c>
      <c r="B892" s="66">
        <v>2029.0</v>
      </c>
      <c r="C892" s="66">
        <v>2.0</v>
      </c>
      <c r="D892" s="66" t="s">
        <v>205</v>
      </c>
      <c r="E892" s="66">
        <v>0.0</v>
      </c>
      <c r="F892" s="66">
        <v>0.046</v>
      </c>
      <c r="G892" s="66">
        <v>0.022</v>
      </c>
      <c r="H892" s="66" t="s">
        <v>227</v>
      </c>
      <c r="I892" s="81">
        <f t="shared" si="1"/>
        <v>1.090909091</v>
      </c>
      <c r="J892" s="81">
        <f t="shared" si="2"/>
        <v>0.4782608696</v>
      </c>
    </row>
    <row r="893">
      <c r="A893" s="82">
        <v>44690.0</v>
      </c>
      <c r="B893" s="66">
        <v>2029.0</v>
      </c>
      <c r="C893" s="66">
        <v>2.0</v>
      </c>
      <c r="D893" s="66" t="s">
        <v>205</v>
      </c>
      <c r="E893" s="66">
        <v>1.0</v>
      </c>
      <c r="F893" s="66">
        <v>0.2865</v>
      </c>
      <c r="G893" s="66">
        <v>0.137</v>
      </c>
      <c r="H893" s="66" t="s">
        <v>227</v>
      </c>
      <c r="I893" s="81">
        <f t="shared" si="1"/>
        <v>1.091240876</v>
      </c>
      <c r="J893" s="81">
        <f t="shared" si="2"/>
        <v>0.4781849913</v>
      </c>
    </row>
    <row r="894">
      <c r="A894" s="82">
        <v>44690.0</v>
      </c>
      <c r="B894" s="66">
        <v>2029.0</v>
      </c>
      <c r="C894" s="66">
        <v>2.0</v>
      </c>
      <c r="D894" s="66" t="s">
        <v>204</v>
      </c>
      <c r="E894" s="66">
        <v>0.0</v>
      </c>
      <c r="F894" s="66">
        <v>1.456</v>
      </c>
      <c r="G894" s="66">
        <v>0.696</v>
      </c>
      <c r="H894" s="66" t="s">
        <v>228</v>
      </c>
      <c r="I894" s="81">
        <f t="shared" si="1"/>
        <v>1.091954023</v>
      </c>
      <c r="J894" s="81">
        <f t="shared" si="2"/>
        <v>0.478021978</v>
      </c>
    </row>
    <row r="895">
      <c r="A895" s="82">
        <v>44690.0</v>
      </c>
      <c r="B895" s="66">
        <v>2029.0</v>
      </c>
      <c r="C895" s="66">
        <v>2.0</v>
      </c>
      <c r="D895" s="66" t="s">
        <v>204</v>
      </c>
      <c r="E895" s="66">
        <v>1.0</v>
      </c>
      <c r="F895" s="66">
        <v>1.1223</v>
      </c>
      <c r="G895" s="66">
        <v>0.5362</v>
      </c>
      <c r="H895" s="66" t="s">
        <v>226</v>
      </c>
      <c r="I895" s="81">
        <f t="shared" si="1"/>
        <v>1.09306229</v>
      </c>
      <c r="J895" s="81">
        <f t="shared" si="2"/>
        <v>0.4777688675</v>
      </c>
    </row>
    <row r="896">
      <c r="A896" s="82">
        <v>44690.0</v>
      </c>
      <c r="B896" s="66">
        <v>2029.0</v>
      </c>
      <c r="C896" s="66">
        <v>3.0</v>
      </c>
      <c r="D896" s="66" t="s">
        <v>205</v>
      </c>
      <c r="E896" s="66">
        <v>0.0</v>
      </c>
      <c r="F896" s="66">
        <v>1.9718</v>
      </c>
      <c r="G896" s="66">
        <v>0.9419</v>
      </c>
      <c r="I896" s="81">
        <f t="shared" si="1"/>
        <v>1.093428177</v>
      </c>
      <c r="J896" s="81">
        <f t="shared" si="2"/>
        <v>0.4776853636</v>
      </c>
    </row>
    <row r="897">
      <c r="A897" s="82">
        <v>44690.0</v>
      </c>
      <c r="B897" s="66">
        <v>2029.0</v>
      </c>
      <c r="C897" s="66">
        <v>3.0</v>
      </c>
      <c r="D897" s="66" t="s">
        <v>205</v>
      </c>
      <c r="E897" s="66">
        <v>1.0</v>
      </c>
      <c r="F897" s="66">
        <v>0.1947</v>
      </c>
      <c r="G897" s="66">
        <v>0.093</v>
      </c>
      <c r="I897" s="81">
        <f t="shared" si="1"/>
        <v>1.093548387</v>
      </c>
      <c r="J897" s="81">
        <f t="shared" si="2"/>
        <v>0.4776579353</v>
      </c>
    </row>
    <row r="898">
      <c r="A898" s="82">
        <v>44690.0</v>
      </c>
      <c r="B898" s="66">
        <v>2029.0</v>
      </c>
      <c r="C898" s="66">
        <v>3.0</v>
      </c>
      <c r="D898" s="66" t="s">
        <v>204</v>
      </c>
      <c r="E898" s="66">
        <v>0.0</v>
      </c>
      <c r="F898" s="66">
        <v>0.6243</v>
      </c>
      <c r="G898" s="66">
        <v>0.2982</v>
      </c>
      <c r="I898" s="81">
        <f t="shared" si="1"/>
        <v>1.093561368</v>
      </c>
      <c r="J898" s="81">
        <f t="shared" si="2"/>
        <v>0.4776549736</v>
      </c>
    </row>
    <row r="899">
      <c r="A899" s="82">
        <v>44690.0</v>
      </c>
      <c r="B899" s="66">
        <v>2029.0</v>
      </c>
      <c r="C899" s="66">
        <v>3.0</v>
      </c>
      <c r="D899" s="66" t="s">
        <v>204</v>
      </c>
      <c r="E899" s="66">
        <v>1.0</v>
      </c>
      <c r="F899" s="66">
        <v>0.6539</v>
      </c>
      <c r="G899" s="66">
        <v>0.312</v>
      </c>
      <c r="H899" s="66" t="s">
        <v>230</v>
      </c>
      <c r="I899" s="81">
        <f t="shared" si="1"/>
        <v>1.095833333</v>
      </c>
      <c r="J899" s="81">
        <f t="shared" si="2"/>
        <v>0.4771371769</v>
      </c>
    </row>
    <row r="900">
      <c r="A900" s="82">
        <v>44690.0</v>
      </c>
      <c r="B900" s="66">
        <v>2030.0</v>
      </c>
      <c r="C900" s="66">
        <v>1.0</v>
      </c>
      <c r="D900" s="66" t="s">
        <v>205</v>
      </c>
      <c r="E900" s="66">
        <v>0.0</v>
      </c>
      <c r="F900" s="66">
        <v>0.1292</v>
      </c>
      <c r="G900" s="66">
        <v>0.0616</v>
      </c>
      <c r="I900" s="81">
        <f t="shared" si="1"/>
        <v>1.097402597</v>
      </c>
      <c r="J900" s="81">
        <f t="shared" si="2"/>
        <v>0.4767801858</v>
      </c>
    </row>
    <row r="901">
      <c r="A901" s="82">
        <v>44690.0</v>
      </c>
      <c r="B901" s="66">
        <v>2030.0</v>
      </c>
      <c r="C901" s="66">
        <v>1.0</v>
      </c>
      <c r="D901" s="66" t="s">
        <v>205</v>
      </c>
      <c r="E901" s="66">
        <v>1.0</v>
      </c>
      <c r="F901" s="66">
        <v>0.5181</v>
      </c>
      <c r="G901" s="66">
        <v>0.247</v>
      </c>
      <c r="H901" s="66" t="s">
        <v>226</v>
      </c>
      <c r="I901" s="81">
        <f t="shared" si="1"/>
        <v>1.09757085</v>
      </c>
      <c r="J901" s="81">
        <f t="shared" si="2"/>
        <v>0.4767419417</v>
      </c>
    </row>
    <row r="902">
      <c r="A902" s="82">
        <v>44690.0</v>
      </c>
      <c r="B902" s="66">
        <v>2030.0</v>
      </c>
      <c r="C902" s="66">
        <v>1.0</v>
      </c>
      <c r="D902" s="66" t="s">
        <v>204</v>
      </c>
      <c r="E902" s="66">
        <v>0.0</v>
      </c>
      <c r="F902" s="66">
        <v>0.0781</v>
      </c>
      <c r="G902" s="66">
        <v>0.0372</v>
      </c>
      <c r="H902" s="66" t="s">
        <v>226</v>
      </c>
      <c r="I902" s="81">
        <f t="shared" si="1"/>
        <v>1.099462366</v>
      </c>
      <c r="J902" s="81">
        <f t="shared" si="2"/>
        <v>0.47631242</v>
      </c>
    </row>
    <row r="903">
      <c r="A903" s="82">
        <v>44690.0</v>
      </c>
      <c r="B903" s="66">
        <v>2030.0</v>
      </c>
      <c r="C903" s="66">
        <v>1.0</v>
      </c>
      <c r="D903" s="66" t="s">
        <v>204</v>
      </c>
      <c r="E903" s="66">
        <v>1.0</v>
      </c>
      <c r="F903" s="66">
        <v>0.4302</v>
      </c>
      <c r="G903" s="66">
        <v>0.2049</v>
      </c>
      <c r="I903" s="81">
        <f t="shared" si="1"/>
        <v>1.099560761</v>
      </c>
      <c r="J903" s="81">
        <f t="shared" si="2"/>
        <v>0.4762900976</v>
      </c>
    </row>
    <row r="904">
      <c r="A904" s="82">
        <v>44690.0</v>
      </c>
      <c r="B904" s="66">
        <v>2030.0</v>
      </c>
      <c r="C904" s="66">
        <v>2.0</v>
      </c>
      <c r="D904" s="66" t="s">
        <v>205</v>
      </c>
      <c r="E904" s="66">
        <v>0.0</v>
      </c>
      <c r="F904" s="66">
        <v>0.147</v>
      </c>
      <c r="G904" s="66">
        <v>0.07</v>
      </c>
      <c r="I904" s="81">
        <f t="shared" si="1"/>
        <v>1.1</v>
      </c>
      <c r="J904" s="81">
        <f t="shared" si="2"/>
        <v>0.4761904762</v>
      </c>
    </row>
    <row r="905">
      <c r="A905" s="82">
        <v>44690.0</v>
      </c>
      <c r="B905" s="66">
        <v>2030.0</v>
      </c>
      <c r="C905" s="66">
        <v>2.0</v>
      </c>
      <c r="D905" s="66" t="s">
        <v>205</v>
      </c>
      <c r="E905" s="66">
        <v>1.0</v>
      </c>
      <c r="F905" s="66">
        <v>0.0399</v>
      </c>
      <c r="G905" s="66">
        <v>0.019</v>
      </c>
      <c r="I905" s="81">
        <f t="shared" si="1"/>
        <v>1.1</v>
      </c>
      <c r="J905" s="81">
        <f t="shared" si="2"/>
        <v>0.4761904762</v>
      </c>
    </row>
    <row r="906">
      <c r="A906" s="82">
        <v>44690.0</v>
      </c>
      <c r="B906" s="66">
        <v>2030.0</v>
      </c>
      <c r="C906" s="66">
        <v>2.0</v>
      </c>
      <c r="D906" s="66" t="s">
        <v>204</v>
      </c>
      <c r="E906" s="66">
        <v>0.0</v>
      </c>
      <c r="F906" s="66">
        <v>0.2654</v>
      </c>
      <c r="G906" s="66">
        <v>0.1263</v>
      </c>
      <c r="H906" s="66" t="s">
        <v>226</v>
      </c>
      <c r="I906" s="81">
        <f t="shared" si="1"/>
        <v>1.101346002</v>
      </c>
      <c r="J906" s="81">
        <f t="shared" si="2"/>
        <v>0.4758854559</v>
      </c>
    </row>
    <row r="907">
      <c r="A907" s="82">
        <v>44690.0</v>
      </c>
      <c r="B907" s="66">
        <v>2030.0</v>
      </c>
      <c r="C907" s="66">
        <v>2.0</v>
      </c>
      <c r="D907" s="66" t="s">
        <v>204</v>
      </c>
      <c r="E907" s="66">
        <v>1.0</v>
      </c>
      <c r="F907" s="66">
        <v>2.5311</v>
      </c>
      <c r="G907" s="66">
        <v>1.2044</v>
      </c>
      <c r="H907" s="66" t="s">
        <v>226</v>
      </c>
      <c r="I907" s="81">
        <f t="shared" si="1"/>
        <v>1.101544337</v>
      </c>
      <c r="J907" s="81">
        <f t="shared" si="2"/>
        <v>0.4758405436</v>
      </c>
    </row>
    <row r="908">
      <c r="A908" s="82">
        <v>44690.0</v>
      </c>
      <c r="B908" s="66">
        <v>2030.0</v>
      </c>
      <c r="C908" s="66">
        <v>3.0</v>
      </c>
      <c r="D908" s="66" t="s">
        <v>205</v>
      </c>
      <c r="E908" s="66">
        <v>0.0</v>
      </c>
      <c r="F908" s="66">
        <v>0.1373</v>
      </c>
      <c r="G908" s="66">
        <v>0.0653</v>
      </c>
      <c r="H908" s="66" t="s">
        <v>230</v>
      </c>
      <c r="I908" s="81">
        <f t="shared" si="1"/>
        <v>1.102603369</v>
      </c>
      <c r="J908" s="81">
        <f t="shared" si="2"/>
        <v>0.475600874</v>
      </c>
    </row>
    <row r="909">
      <c r="A909" s="82">
        <v>44690.0</v>
      </c>
      <c r="B909" s="66">
        <v>2030.0</v>
      </c>
      <c r="C909" s="66">
        <v>3.0</v>
      </c>
      <c r="D909" s="66" t="s">
        <v>205</v>
      </c>
      <c r="E909" s="66">
        <v>1.0</v>
      </c>
      <c r="F909" s="66">
        <v>0.1199</v>
      </c>
      <c r="G909" s="66">
        <v>0.057</v>
      </c>
      <c r="H909" s="66" t="s">
        <v>226</v>
      </c>
      <c r="I909" s="81">
        <f t="shared" si="1"/>
        <v>1.103508772</v>
      </c>
      <c r="J909" s="81">
        <f t="shared" si="2"/>
        <v>0.4753961635</v>
      </c>
    </row>
    <row r="910">
      <c r="A910" s="82">
        <v>44690.0</v>
      </c>
      <c r="B910" s="66">
        <v>2030.0</v>
      </c>
      <c r="C910" s="66">
        <v>3.0</v>
      </c>
      <c r="D910" s="66" t="s">
        <v>204</v>
      </c>
      <c r="E910" s="66">
        <v>0.0</v>
      </c>
      <c r="F910" s="66">
        <v>0.1948</v>
      </c>
      <c r="G910" s="66">
        <v>0.0926</v>
      </c>
      <c r="H910" s="66" t="s">
        <v>226</v>
      </c>
      <c r="I910" s="81">
        <f t="shared" si="1"/>
        <v>1.103671706</v>
      </c>
      <c r="J910" s="81">
        <f t="shared" si="2"/>
        <v>0.4753593429</v>
      </c>
    </row>
    <row r="911">
      <c r="A911" s="82">
        <v>44690.0</v>
      </c>
      <c r="B911" s="66">
        <v>2030.0</v>
      </c>
      <c r="C911" s="66">
        <v>3.0</v>
      </c>
      <c r="D911" s="66" t="s">
        <v>204</v>
      </c>
      <c r="E911" s="66">
        <v>1.0</v>
      </c>
      <c r="F911" s="66">
        <v>0.0484</v>
      </c>
      <c r="G911" s="66">
        <v>0.023</v>
      </c>
      <c r="H911" s="66" t="s">
        <v>226</v>
      </c>
      <c r="I911" s="81">
        <f t="shared" si="1"/>
        <v>1.104347826</v>
      </c>
      <c r="J911" s="81">
        <f t="shared" si="2"/>
        <v>0.4752066116</v>
      </c>
    </row>
    <row r="912">
      <c r="A912" s="82">
        <v>44690.0</v>
      </c>
      <c r="B912" s="66">
        <v>2031.0</v>
      </c>
      <c r="C912" s="66">
        <v>1.0</v>
      </c>
      <c r="D912" s="66" t="s">
        <v>205</v>
      </c>
      <c r="E912" s="66">
        <v>0.0</v>
      </c>
      <c r="F912" s="66">
        <v>0.2923</v>
      </c>
      <c r="G912" s="66">
        <v>0.1389</v>
      </c>
      <c r="I912" s="81">
        <f t="shared" si="1"/>
        <v>1.104391649</v>
      </c>
      <c r="J912" s="81">
        <f t="shared" si="2"/>
        <v>0.4751967157</v>
      </c>
    </row>
    <row r="913">
      <c r="A913" s="82">
        <v>44690.0</v>
      </c>
      <c r="B913" s="66">
        <v>2031.0</v>
      </c>
      <c r="C913" s="66">
        <v>1.0</v>
      </c>
      <c r="D913" s="66" t="s">
        <v>204</v>
      </c>
      <c r="E913" s="66">
        <v>0.0</v>
      </c>
      <c r="F913" s="66">
        <v>0.7054</v>
      </c>
      <c r="G913" s="66">
        <v>0.335</v>
      </c>
      <c r="H913" s="66" t="s">
        <v>227</v>
      </c>
      <c r="I913" s="81">
        <f t="shared" si="1"/>
        <v>1.105671642</v>
      </c>
      <c r="J913" s="81">
        <f t="shared" si="2"/>
        <v>0.4749078537</v>
      </c>
    </row>
    <row r="914">
      <c r="A914" s="82">
        <v>44690.0</v>
      </c>
      <c r="B914" s="66">
        <v>2031.0</v>
      </c>
      <c r="C914" s="66">
        <v>1.0</v>
      </c>
      <c r="D914" s="66" t="s">
        <v>204</v>
      </c>
      <c r="E914" s="66">
        <v>1.0</v>
      </c>
      <c r="F914" s="66">
        <v>0.3643</v>
      </c>
      <c r="G914" s="66">
        <v>0.173</v>
      </c>
      <c r="H914" s="66" t="s">
        <v>226</v>
      </c>
      <c r="I914" s="81">
        <f t="shared" si="1"/>
        <v>1.105780347</v>
      </c>
      <c r="J914" s="81">
        <f t="shared" si="2"/>
        <v>0.4748833379</v>
      </c>
    </row>
    <row r="915">
      <c r="A915" s="82">
        <v>44690.0</v>
      </c>
      <c r="B915" s="66">
        <v>2031.0</v>
      </c>
      <c r="C915" s="66">
        <v>2.0</v>
      </c>
      <c r="D915" s="66" t="s">
        <v>205</v>
      </c>
      <c r="E915" s="66">
        <v>0.0</v>
      </c>
      <c r="F915" s="66">
        <v>0.2609</v>
      </c>
      <c r="G915" s="66">
        <v>0.1238</v>
      </c>
      <c r="H915" s="66" t="s">
        <v>226</v>
      </c>
      <c r="I915" s="81">
        <f t="shared" si="1"/>
        <v>1.107431341</v>
      </c>
      <c r="J915" s="81">
        <f t="shared" si="2"/>
        <v>0.474511307</v>
      </c>
    </row>
    <row r="916">
      <c r="A916" s="82">
        <v>44690.0</v>
      </c>
      <c r="B916" s="66">
        <v>2031.0</v>
      </c>
      <c r="C916" s="66">
        <v>2.0</v>
      </c>
      <c r="D916" s="66" t="s">
        <v>204</v>
      </c>
      <c r="E916" s="66">
        <v>0.0</v>
      </c>
      <c r="F916" s="66">
        <v>0.1189</v>
      </c>
      <c r="G916" s="66">
        <v>0.0564</v>
      </c>
      <c r="I916" s="81">
        <f t="shared" si="1"/>
        <v>1.108156028</v>
      </c>
      <c r="J916" s="81">
        <f t="shared" si="2"/>
        <v>0.4743481918</v>
      </c>
    </row>
    <row r="917">
      <c r="A917" s="82">
        <v>44690.0</v>
      </c>
      <c r="B917" s="66">
        <v>2031.0</v>
      </c>
      <c r="C917" s="66">
        <v>2.0</v>
      </c>
      <c r="D917" s="66" t="s">
        <v>204</v>
      </c>
      <c r="E917" s="66">
        <v>1.0</v>
      </c>
      <c r="F917" s="66">
        <v>0.2579</v>
      </c>
      <c r="G917" s="66">
        <v>0.1223</v>
      </c>
      <c r="I917" s="81">
        <f t="shared" si="1"/>
        <v>1.108748978</v>
      </c>
      <c r="J917" s="81">
        <f t="shared" si="2"/>
        <v>0.4742148119</v>
      </c>
    </row>
    <row r="918">
      <c r="A918" s="82">
        <v>44690.0</v>
      </c>
      <c r="B918" s="66">
        <v>2031.0</v>
      </c>
      <c r="C918" s="66">
        <v>3.0</v>
      </c>
      <c r="D918" s="66" t="s">
        <v>205</v>
      </c>
      <c r="E918" s="66">
        <v>0.0</v>
      </c>
      <c r="F918" s="66">
        <v>0.6069</v>
      </c>
      <c r="G918" s="66">
        <v>0.2878</v>
      </c>
      <c r="I918" s="81">
        <f t="shared" si="1"/>
        <v>1.108756081</v>
      </c>
      <c r="J918" s="81">
        <f t="shared" si="2"/>
        <v>0.4742132147</v>
      </c>
    </row>
    <row r="919">
      <c r="A919" s="82">
        <v>44690.0</v>
      </c>
      <c r="B919" s="66">
        <v>2031.0</v>
      </c>
      <c r="C919" s="66">
        <v>3.0</v>
      </c>
      <c r="D919" s="66" t="s">
        <v>204</v>
      </c>
      <c r="E919" s="66">
        <v>0.0</v>
      </c>
      <c r="F919" s="66">
        <v>0.1464</v>
      </c>
      <c r="G919" s="66">
        <v>0.0694</v>
      </c>
      <c r="I919" s="81">
        <f t="shared" si="1"/>
        <v>1.109510086</v>
      </c>
      <c r="J919" s="81">
        <f t="shared" si="2"/>
        <v>0.4740437158</v>
      </c>
    </row>
    <row r="920">
      <c r="A920" s="82">
        <v>44690.0</v>
      </c>
      <c r="B920" s="66">
        <v>2031.0</v>
      </c>
      <c r="C920" s="66">
        <v>3.0</v>
      </c>
      <c r="D920" s="66" t="s">
        <v>204</v>
      </c>
      <c r="E920" s="66">
        <v>1.0</v>
      </c>
      <c r="F920" s="66">
        <v>1.4029</v>
      </c>
      <c r="G920" s="66">
        <v>0.6649</v>
      </c>
      <c r="H920" s="66" t="s">
        <v>226</v>
      </c>
      <c r="I920" s="81">
        <f t="shared" si="1"/>
        <v>1.109941345</v>
      </c>
      <c r="J920" s="81">
        <f t="shared" si="2"/>
        <v>0.4739468244</v>
      </c>
    </row>
    <row r="921">
      <c r="A921" s="82">
        <v>44690.0</v>
      </c>
      <c r="B921" s="66">
        <v>2080.0</v>
      </c>
      <c r="C921" s="66">
        <v>1.0</v>
      </c>
      <c r="D921" s="66" t="s">
        <v>205</v>
      </c>
      <c r="E921" s="66">
        <v>0.0</v>
      </c>
      <c r="F921" s="66">
        <v>0.0422</v>
      </c>
      <c r="G921" s="66">
        <v>0.02</v>
      </c>
      <c r="H921" s="66" t="s">
        <v>227</v>
      </c>
      <c r="I921" s="81">
        <f t="shared" si="1"/>
        <v>1.11</v>
      </c>
      <c r="J921" s="81">
        <f t="shared" si="2"/>
        <v>0.4739336493</v>
      </c>
    </row>
    <row r="922">
      <c r="A922" s="82">
        <v>44690.0</v>
      </c>
      <c r="B922" s="66">
        <v>2085.0</v>
      </c>
      <c r="C922" s="66">
        <v>1.0</v>
      </c>
      <c r="D922" s="66" t="s">
        <v>205</v>
      </c>
      <c r="E922" s="66">
        <v>0.0</v>
      </c>
      <c r="F922" s="66">
        <v>0.2414</v>
      </c>
      <c r="G922" s="66">
        <v>0.1144</v>
      </c>
      <c r="H922" s="66" t="s">
        <v>226</v>
      </c>
      <c r="I922" s="81">
        <f t="shared" si="1"/>
        <v>1.11013986</v>
      </c>
      <c r="J922" s="81">
        <f t="shared" si="2"/>
        <v>0.473902237</v>
      </c>
    </row>
    <row r="923">
      <c r="A923" s="82">
        <v>44690.0</v>
      </c>
      <c r="B923" s="66">
        <v>2085.0</v>
      </c>
      <c r="C923" s="66">
        <v>1.0</v>
      </c>
      <c r="D923" s="66" t="s">
        <v>204</v>
      </c>
      <c r="E923" s="66">
        <v>0.0</v>
      </c>
      <c r="F923" s="66">
        <v>0.133</v>
      </c>
      <c r="G923" s="66">
        <v>0.063</v>
      </c>
      <c r="H923" s="66" t="s">
        <v>227</v>
      </c>
      <c r="I923" s="81">
        <f t="shared" si="1"/>
        <v>1.111111111</v>
      </c>
      <c r="J923" s="81">
        <f t="shared" si="2"/>
        <v>0.4736842105</v>
      </c>
    </row>
    <row r="924">
      <c r="A924" s="82">
        <v>44690.0</v>
      </c>
      <c r="B924" s="66">
        <v>2085.0</v>
      </c>
      <c r="C924" s="66">
        <v>1.0</v>
      </c>
      <c r="D924" s="66" t="s">
        <v>204</v>
      </c>
      <c r="E924" s="66">
        <v>1.0</v>
      </c>
      <c r="F924" s="66">
        <v>0.7958</v>
      </c>
      <c r="G924" s="66">
        <v>0.3769</v>
      </c>
      <c r="I924" s="81">
        <f t="shared" si="1"/>
        <v>1.111435394</v>
      </c>
      <c r="J924" s="81">
        <f t="shared" si="2"/>
        <v>0.4736114602</v>
      </c>
    </row>
    <row r="925">
      <c r="A925" s="82">
        <v>44690.0</v>
      </c>
      <c r="B925" s="66">
        <v>2085.0</v>
      </c>
      <c r="C925" s="66">
        <v>2.0</v>
      </c>
      <c r="D925" s="66" t="s">
        <v>205</v>
      </c>
      <c r="E925" s="66">
        <v>0.0</v>
      </c>
      <c r="F925" s="66">
        <v>0.521</v>
      </c>
      <c r="G925" s="66">
        <v>0.2465</v>
      </c>
      <c r="I925" s="81">
        <f t="shared" si="1"/>
        <v>1.113590264</v>
      </c>
      <c r="J925" s="81">
        <f t="shared" si="2"/>
        <v>0.4731285988</v>
      </c>
    </row>
    <row r="926">
      <c r="A926" s="82">
        <v>44690.0</v>
      </c>
      <c r="B926" s="66">
        <v>2085.0</v>
      </c>
      <c r="C926" s="66">
        <v>2.0</v>
      </c>
      <c r="D926" s="66" t="s">
        <v>204</v>
      </c>
      <c r="E926" s="66">
        <v>0.0</v>
      </c>
      <c r="F926" s="66">
        <v>0.6439</v>
      </c>
      <c r="G926" s="66">
        <v>0.3046</v>
      </c>
      <c r="H926" s="66" t="s">
        <v>226</v>
      </c>
      <c r="I926" s="81">
        <f t="shared" si="1"/>
        <v>1.113919895</v>
      </c>
      <c r="J926" s="81">
        <f t="shared" si="2"/>
        <v>0.4730548222</v>
      </c>
    </row>
    <row r="927">
      <c r="A927" s="82">
        <v>44690.0</v>
      </c>
      <c r="B927" s="66">
        <v>2085.0</v>
      </c>
      <c r="C927" s="66">
        <v>2.0</v>
      </c>
      <c r="D927" s="66" t="s">
        <v>204</v>
      </c>
      <c r="E927" s="66">
        <v>1.0</v>
      </c>
      <c r="F927" s="66">
        <v>0.167</v>
      </c>
      <c r="G927" s="66">
        <v>0.079</v>
      </c>
      <c r="H927" s="66" t="s">
        <v>227</v>
      </c>
      <c r="I927" s="81">
        <f t="shared" si="1"/>
        <v>1.113924051</v>
      </c>
      <c r="J927" s="81">
        <f t="shared" si="2"/>
        <v>0.4730538922</v>
      </c>
    </row>
    <row r="928">
      <c r="A928" s="82">
        <v>44690.0</v>
      </c>
      <c r="B928" s="66">
        <v>2086.0</v>
      </c>
      <c r="C928" s="66">
        <v>1.0</v>
      </c>
      <c r="D928" s="66" t="s">
        <v>204</v>
      </c>
      <c r="E928" s="66">
        <v>0.0</v>
      </c>
      <c r="F928" s="66">
        <v>0.2859</v>
      </c>
      <c r="G928" s="66">
        <v>0.1352</v>
      </c>
      <c r="I928" s="81">
        <f t="shared" si="1"/>
        <v>1.11464497</v>
      </c>
      <c r="J928" s="81">
        <f t="shared" si="2"/>
        <v>0.4728926198</v>
      </c>
    </row>
    <row r="929">
      <c r="A929" s="82">
        <v>44690.0</v>
      </c>
      <c r="B929" s="66">
        <v>2086.0</v>
      </c>
      <c r="C929" s="66">
        <v>1.0</v>
      </c>
      <c r="D929" s="66" t="s">
        <v>204</v>
      </c>
      <c r="E929" s="66">
        <v>1.0</v>
      </c>
      <c r="F929" s="66">
        <v>0.165</v>
      </c>
      <c r="G929" s="66">
        <v>0.078</v>
      </c>
      <c r="H929" s="66" t="s">
        <v>227</v>
      </c>
      <c r="I929" s="81">
        <f t="shared" si="1"/>
        <v>1.115384615</v>
      </c>
      <c r="J929" s="81">
        <f t="shared" si="2"/>
        <v>0.4727272727</v>
      </c>
    </row>
    <row r="930">
      <c r="A930" s="82">
        <v>44690.0</v>
      </c>
      <c r="B930" s="66">
        <v>2086.0</v>
      </c>
      <c r="C930" s="66">
        <v>2.0</v>
      </c>
      <c r="D930" s="66" t="s">
        <v>205</v>
      </c>
      <c r="E930" s="66">
        <v>0.0</v>
      </c>
      <c r="F930" s="66">
        <v>0.0728</v>
      </c>
      <c r="G930" s="66">
        <v>0.0344</v>
      </c>
      <c r="H930" s="66" t="s">
        <v>226</v>
      </c>
      <c r="I930" s="81">
        <f t="shared" si="1"/>
        <v>1.11627907</v>
      </c>
      <c r="J930" s="81">
        <f t="shared" si="2"/>
        <v>0.4725274725</v>
      </c>
    </row>
    <row r="931">
      <c r="A931" s="82">
        <v>44690.0</v>
      </c>
      <c r="B931" s="66">
        <v>2086.0</v>
      </c>
      <c r="C931" s="66">
        <v>2.0</v>
      </c>
      <c r="D931" s="66" t="s">
        <v>204</v>
      </c>
      <c r="E931" s="66">
        <v>0.0</v>
      </c>
      <c r="F931" s="66">
        <v>0.544</v>
      </c>
      <c r="G931" s="66">
        <v>0.257</v>
      </c>
      <c r="H931" s="66" t="s">
        <v>227</v>
      </c>
      <c r="I931" s="81">
        <f t="shared" si="1"/>
        <v>1.116731518</v>
      </c>
      <c r="J931" s="81">
        <f t="shared" si="2"/>
        <v>0.4724264706</v>
      </c>
    </row>
    <row r="932">
      <c r="A932" s="82">
        <v>44690.0</v>
      </c>
      <c r="B932" s="66">
        <v>2086.0</v>
      </c>
      <c r="C932" s="66">
        <v>2.0</v>
      </c>
      <c r="D932" s="66" t="s">
        <v>204</v>
      </c>
      <c r="E932" s="66">
        <v>1.0</v>
      </c>
      <c r="F932" s="66">
        <v>0.9787</v>
      </c>
      <c r="G932" s="66">
        <v>0.4623</v>
      </c>
      <c r="H932" s="66" t="s">
        <v>226</v>
      </c>
      <c r="I932" s="81">
        <f t="shared" si="1"/>
        <v>1.117023578</v>
      </c>
      <c r="J932" s="81">
        <f t="shared" si="2"/>
        <v>0.4723612956</v>
      </c>
    </row>
    <row r="933">
      <c r="A933" s="82">
        <v>44690.0</v>
      </c>
      <c r="B933" s="66">
        <v>2086.0</v>
      </c>
      <c r="C933" s="66">
        <v>3.0</v>
      </c>
      <c r="D933" s="66" t="s">
        <v>205</v>
      </c>
      <c r="E933" s="66">
        <v>0.0</v>
      </c>
      <c r="F933" s="66">
        <v>0.2668</v>
      </c>
      <c r="G933" s="66">
        <v>0.126</v>
      </c>
      <c r="H933" s="66" t="s">
        <v>226</v>
      </c>
      <c r="I933" s="81">
        <f t="shared" si="1"/>
        <v>1.117460317</v>
      </c>
      <c r="J933" s="81">
        <f t="shared" si="2"/>
        <v>0.4722638681</v>
      </c>
    </row>
    <row r="934">
      <c r="A934" s="82">
        <v>44690.0</v>
      </c>
      <c r="B934" s="66">
        <v>2086.0</v>
      </c>
      <c r="C934" s="66">
        <v>3.0</v>
      </c>
      <c r="D934" s="66" t="s">
        <v>204</v>
      </c>
      <c r="E934" s="66">
        <v>0.0</v>
      </c>
      <c r="F934" s="66">
        <v>0.5421</v>
      </c>
      <c r="G934" s="66">
        <v>0.256</v>
      </c>
      <c r="H934" s="66" t="s">
        <v>226</v>
      </c>
      <c r="I934" s="81">
        <f t="shared" si="1"/>
        <v>1.117578125</v>
      </c>
      <c r="J934" s="81">
        <f t="shared" si="2"/>
        <v>0.4722375945</v>
      </c>
    </row>
    <row r="935">
      <c r="A935" s="82">
        <v>44690.0</v>
      </c>
      <c r="B935" s="66">
        <v>2086.0</v>
      </c>
      <c r="C935" s="66">
        <v>3.0</v>
      </c>
      <c r="D935" s="66" t="s">
        <v>204</v>
      </c>
      <c r="E935" s="66">
        <v>1.0</v>
      </c>
      <c r="F935" s="66">
        <v>0.2857</v>
      </c>
      <c r="G935" s="66">
        <v>0.1349</v>
      </c>
      <c r="H935" s="66" t="s">
        <v>226</v>
      </c>
      <c r="I935" s="81">
        <f t="shared" si="1"/>
        <v>1.117865085</v>
      </c>
      <c r="J935" s="81">
        <f t="shared" si="2"/>
        <v>0.4721736087</v>
      </c>
    </row>
    <row r="936">
      <c r="A936" s="82">
        <v>44690.0</v>
      </c>
      <c r="B936" s="66">
        <v>2087.0</v>
      </c>
      <c r="C936" s="66">
        <v>1.0</v>
      </c>
      <c r="D936" s="66" t="s">
        <v>205</v>
      </c>
      <c r="E936" s="66">
        <v>0.0</v>
      </c>
      <c r="F936" s="66">
        <v>0.9582</v>
      </c>
      <c r="G936" s="66">
        <v>0.4522</v>
      </c>
      <c r="H936" s="66" t="s">
        <v>226</v>
      </c>
      <c r="I936" s="81">
        <f t="shared" si="1"/>
        <v>1.118973905</v>
      </c>
      <c r="J936" s="81">
        <f t="shared" si="2"/>
        <v>0.4719265289</v>
      </c>
    </row>
    <row r="937">
      <c r="A937" s="82">
        <v>44690.0</v>
      </c>
      <c r="B937" s="66">
        <v>2087.0</v>
      </c>
      <c r="C937" s="66">
        <v>1.0</v>
      </c>
      <c r="D937" s="66" t="s">
        <v>204</v>
      </c>
      <c r="E937" s="66">
        <v>0.0</v>
      </c>
      <c r="F937" s="66">
        <v>0.7836</v>
      </c>
      <c r="G937" s="66">
        <v>0.3696</v>
      </c>
      <c r="H937" s="66" t="s">
        <v>226</v>
      </c>
      <c r="I937" s="81">
        <f t="shared" si="1"/>
        <v>1.12012987</v>
      </c>
      <c r="J937" s="81">
        <f t="shared" si="2"/>
        <v>0.471669219</v>
      </c>
    </row>
    <row r="938">
      <c r="A938" s="82">
        <v>44690.0</v>
      </c>
      <c r="B938" s="66">
        <v>2087.0</v>
      </c>
      <c r="C938" s="66">
        <v>1.0</v>
      </c>
      <c r="D938" s="66" t="s">
        <v>204</v>
      </c>
      <c r="E938" s="66">
        <v>1.0</v>
      </c>
      <c r="F938" s="66">
        <v>0.3371</v>
      </c>
      <c r="G938" s="66">
        <v>0.1589</v>
      </c>
      <c r="I938" s="81">
        <f t="shared" si="1"/>
        <v>1.121460038</v>
      </c>
      <c r="J938" s="81">
        <f t="shared" si="2"/>
        <v>0.4713734797</v>
      </c>
    </row>
    <row r="939">
      <c r="A939" s="82">
        <v>44690.0</v>
      </c>
      <c r="B939" s="66">
        <v>2087.0</v>
      </c>
      <c r="C939" s="66">
        <v>2.0</v>
      </c>
      <c r="D939" s="66" t="s">
        <v>205</v>
      </c>
      <c r="E939" s="66">
        <v>0.0</v>
      </c>
      <c r="F939" s="66">
        <v>0.3374</v>
      </c>
      <c r="G939" s="66">
        <v>0.159</v>
      </c>
      <c r="H939" s="66" t="s">
        <v>226</v>
      </c>
      <c r="I939" s="81">
        <f t="shared" si="1"/>
        <v>1.122012579</v>
      </c>
      <c r="J939" s="81">
        <f t="shared" si="2"/>
        <v>0.471250741</v>
      </c>
    </row>
    <row r="940">
      <c r="A940" s="82">
        <v>44690.0</v>
      </c>
      <c r="B940" s="66">
        <v>2087.0</v>
      </c>
      <c r="C940" s="66">
        <v>2.0</v>
      </c>
      <c r="D940" s="66" t="s">
        <v>204</v>
      </c>
      <c r="E940" s="66">
        <v>0.0</v>
      </c>
      <c r="F940" s="66">
        <v>0.6964</v>
      </c>
      <c r="G940" s="66">
        <v>0.328</v>
      </c>
      <c r="H940" s="66" t="s">
        <v>227</v>
      </c>
      <c r="I940" s="81">
        <f t="shared" si="1"/>
        <v>1.123170732</v>
      </c>
      <c r="J940" s="81">
        <f t="shared" si="2"/>
        <v>0.4709936818</v>
      </c>
    </row>
    <row r="941">
      <c r="A941" s="82">
        <v>44690.0</v>
      </c>
      <c r="B941" s="66">
        <v>2087.0</v>
      </c>
      <c r="C941" s="66">
        <v>2.0</v>
      </c>
      <c r="D941" s="66" t="s">
        <v>204</v>
      </c>
      <c r="E941" s="66">
        <v>1.0</v>
      </c>
      <c r="F941" s="66">
        <v>0.1912</v>
      </c>
      <c r="G941" s="66">
        <v>0.09</v>
      </c>
      <c r="H941" s="66" t="s">
        <v>226</v>
      </c>
      <c r="I941" s="81">
        <f t="shared" si="1"/>
        <v>1.124444444</v>
      </c>
      <c r="J941" s="81">
        <f t="shared" si="2"/>
        <v>0.4707112971</v>
      </c>
    </row>
    <row r="942">
      <c r="A942" s="82">
        <v>44690.0</v>
      </c>
      <c r="B942" s="66">
        <v>2087.0</v>
      </c>
      <c r="C942" s="66">
        <v>3.0</v>
      </c>
      <c r="D942" s="66" t="s">
        <v>205</v>
      </c>
      <c r="E942" s="66">
        <v>0.0</v>
      </c>
      <c r="F942" s="66">
        <v>0.0765</v>
      </c>
      <c r="G942" s="66">
        <v>0.036</v>
      </c>
      <c r="H942" s="66" t="s">
        <v>227</v>
      </c>
      <c r="I942" s="81">
        <f t="shared" si="1"/>
        <v>1.125</v>
      </c>
      <c r="J942" s="81">
        <f t="shared" si="2"/>
        <v>0.4705882353</v>
      </c>
    </row>
    <row r="943">
      <c r="A943" s="82">
        <v>44690.0</v>
      </c>
      <c r="B943" s="66">
        <v>2087.0</v>
      </c>
      <c r="C943" s="66">
        <v>3.0</v>
      </c>
      <c r="D943" s="66" t="s">
        <v>204</v>
      </c>
      <c r="E943" s="66">
        <v>0.0</v>
      </c>
      <c r="F943" s="66">
        <v>0.5908</v>
      </c>
      <c r="G943" s="66">
        <v>0.278</v>
      </c>
      <c r="H943" s="66" t="s">
        <v>227</v>
      </c>
      <c r="I943" s="81">
        <f t="shared" si="1"/>
        <v>1.125179856</v>
      </c>
      <c r="J943" s="81">
        <f t="shared" si="2"/>
        <v>0.4705484089</v>
      </c>
    </row>
    <row r="944">
      <c r="A944" s="82">
        <v>44690.0</v>
      </c>
      <c r="B944" s="66">
        <v>2087.0</v>
      </c>
      <c r="C944" s="66">
        <v>3.0</v>
      </c>
      <c r="D944" s="66" t="s">
        <v>204</v>
      </c>
      <c r="E944" s="66">
        <v>1.0</v>
      </c>
      <c r="F944" s="66">
        <v>0.1403</v>
      </c>
      <c r="G944" s="66">
        <v>0.066</v>
      </c>
      <c r="I944" s="81">
        <f t="shared" si="1"/>
        <v>1.125757576</v>
      </c>
      <c r="J944" s="81">
        <f t="shared" si="2"/>
        <v>0.4704205274</v>
      </c>
    </row>
    <row r="945">
      <c r="A945" s="82">
        <v>44690.0</v>
      </c>
      <c r="B945" s="66">
        <v>2088.0</v>
      </c>
      <c r="C945" s="66">
        <v>1.0</v>
      </c>
      <c r="D945" s="66" t="s">
        <v>205</v>
      </c>
      <c r="E945" s="66">
        <v>1.0</v>
      </c>
      <c r="F945" s="66">
        <v>0.0574</v>
      </c>
      <c r="G945" s="66">
        <v>0.027</v>
      </c>
      <c r="H945" s="66" t="s">
        <v>227</v>
      </c>
      <c r="I945" s="81">
        <f t="shared" si="1"/>
        <v>1.125925926</v>
      </c>
      <c r="J945" s="81">
        <f t="shared" si="2"/>
        <v>0.4703832753</v>
      </c>
    </row>
    <row r="946">
      <c r="A946" s="82">
        <v>44690.0</v>
      </c>
      <c r="B946" s="66">
        <v>2088.0</v>
      </c>
      <c r="C946" s="66">
        <v>1.0</v>
      </c>
      <c r="D946" s="66" t="s">
        <v>204</v>
      </c>
      <c r="E946" s="66">
        <v>0.0</v>
      </c>
      <c r="F946" s="66">
        <v>0.2798</v>
      </c>
      <c r="G946" s="66">
        <v>0.1316</v>
      </c>
      <c r="H946" s="66" t="s">
        <v>230</v>
      </c>
      <c r="I946" s="81">
        <f t="shared" si="1"/>
        <v>1.126139818</v>
      </c>
      <c r="J946" s="81">
        <f t="shared" si="2"/>
        <v>0.4703359543</v>
      </c>
    </row>
    <row r="947">
      <c r="A947" s="82">
        <v>44690.0</v>
      </c>
      <c r="B947" s="66">
        <v>2088.0</v>
      </c>
      <c r="C947" s="66">
        <v>1.0</v>
      </c>
      <c r="D947" s="66" t="s">
        <v>204</v>
      </c>
      <c r="E947" s="66">
        <v>1.0</v>
      </c>
      <c r="F947" s="66">
        <v>0.1859</v>
      </c>
      <c r="G947" s="66">
        <v>0.0874</v>
      </c>
      <c r="I947" s="81">
        <f t="shared" si="1"/>
        <v>1.127002288</v>
      </c>
      <c r="J947" s="81">
        <f t="shared" si="2"/>
        <v>0.4701452394</v>
      </c>
    </row>
    <row r="948">
      <c r="A948" s="82">
        <v>44690.0</v>
      </c>
      <c r="B948" s="66">
        <v>2088.0</v>
      </c>
      <c r="C948" s="66">
        <v>2.0</v>
      </c>
      <c r="D948" s="66" t="s">
        <v>205</v>
      </c>
      <c r="E948" s="66">
        <v>0.0</v>
      </c>
      <c r="F948" s="66">
        <v>1.705</v>
      </c>
      <c r="G948" s="66">
        <v>0.8015</v>
      </c>
      <c r="I948" s="81">
        <f t="shared" si="1"/>
        <v>1.127261385</v>
      </c>
      <c r="J948" s="81">
        <f t="shared" si="2"/>
        <v>0.4700879765</v>
      </c>
    </row>
    <row r="949">
      <c r="A949" s="82">
        <v>44690.0</v>
      </c>
      <c r="B949" s="66">
        <v>2088.0</v>
      </c>
      <c r="C949" s="66">
        <v>2.0</v>
      </c>
      <c r="D949" s="66" t="s">
        <v>204</v>
      </c>
      <c r="E949" s="66">
        <v>0.0</v>
      </c>
      <c r="F949" s="66">
        <v>0.0751</v>
      </c>
      <c r="G949" s="66">
        <v>0.0353</v>
      </c>
      <c r="I949" s="81">
        <f t="shared" si="1"/>
        <v>1.127478754</v>
      </c>
      <c r="J949" s="81">
        <f t="shared" si="2"/>
        <v>0.4700399467</v>
      </c>
    </row>
    <row r="950">
      <c r="A950" s="82">
        <v>44690.0</v>
      </c>
      <c r="B950" s="66">
        <v>2088.0</v>
      </c>
      <c r="C950" s="66">
        <v>2.0</v>
      </c>
      <c r="D950" s="66" t="s">
        <v>204</v>
      </c>
      <c r="E950" s="66">
        <v>1.0</v>
      </c>
      <c r="F950" s="66">
        <v>0.9738</v>
      </c>
      <c r="G950" s="66">
        <v>0.4575</v>
      </c>
      <c r="I950" s="81">
        <f t="shared" si="1"/>
        <v>1.12852459</v>
      </c>
      <c r="J950" s="81">
        <f t="shared" si="2"/>
        <v>0.4698089957</v>
      </c>
    </row>
    <row r="951">
      <c r="A951" s="82">
        <v>44690.0</v>
      </c>
      <c r="B951" s="66">
        <v>2088.0</v>
      </c>
      <c r="C951" s="66">
        <v>3.0</v>
      </c>
      <c r="D951" s="66" t="s">
        <v>205</v>
      </c>
      <c r="E951" s="66">
        <v>0.0</v>
      </c>
      <c r="F951" s="66">
        <v>0.1968</v>
      </c>
      <c r="G951" s="66">
        <v>0.0924</v>
      </c>
      <c r="I951" s="81">
        <f t="shared" si="1"/>
        <v>1.12987013</v>
      </c>
      <c r="J951" s="81">
        <f t="shared" si="2"/>
        <v>0.4695121951</v>
      </c>
    </row>
    <row r="952">
      <c r="A952" s="82">
        <v>44690.0</v>
      </c>
      <c r="B952" s="66">
        <v>2088.0</v>
      </c>
      <c r="C952" s="66">
        <v>3.0</v>
      </c>
      <c r="D952" s="66" t="s">
        <v>204</v>
      </c>
      <c r="E952" s="66">
        <v>0.0</v>
      </c>
      <c r="F952" s="66">
        <v>0.1451</v>
      </c>
      <c r="G952" s="66">
        <v>0.0681</v>
      </c>
      <c r="H952" s="66" t="s">
        <v>230</v>
      </c>
      <c r="I952" s="81">
        <f t="shared" si="1"/>
        <v>1.130690162</v>
      </c>
      <c r="J952" s="81">
        <f t="shared" si="2"/>
        <v>0.4693314955</v>
      </c>
    </row>
    <row r="953">
      <c r="A953" s="82">
        <v>44690.0</v>
      </c>
      <c r="B953" s="66">
        <v>2088.0</v>
      </c>
      <c r="C953" s="66">
        <v>3.0</v>
      </c>
      <c r="D953" s="66" t="s">
        <v>204</v>
      </c>
      <c r="E953" s="66">
        <v>1.0</v>
      </c>
      <c r="F953" s="66">
        <v>0.3283</v>
      </c>
      <c r="G953" s="66">
        <v>0.154</v>
      </c>
      <c r="H953" s="66" t="s">
        <v>226</v>
      </c>
      <c r="I953" s="81">
        <f t="shared" si="1"/>
        <v>1.131818182</v>
      </c>
      <c r="J953" s="81">
        <f t="shared" si="2"/>
        <v>0.4690831557</v>
      </c>
    </row>
    <row r="954">
      <c r="A954" s="82">
        <v>44690.0</v>
      </c>
      <c r="B954" s="66">
        <v>2089.0</v>
      </c>
      <c r="C954" s="66">
        <v>1.0</v>
      </c>
      <c r="D954" s="66" t="s">
        <v>205</v>
      </c>
      <c r="E954" s="66">
        <v>0.0</v>
      </c>
      <c r="F954" s="66">
        <v>0.2746</v>
      </c>
      <c r="G954" s="66">
        <v>0.1288</v>
      </c>
      <c r="I954" s="81">
        <f t="shared" si="1"/>
        <v>1.131987578</v>
      </c>
      <c r="J954" s="81">
        <f t="shared" si="2"/>
        <v>0.4690458849</v>
      </c>
    </row>
    <row r="955">
      <c r="A955" s="82">
        <v>44690.0</v>
      </c>
      <c r="B955" s="66">
        <v>2089.0</v>
      </c>
      <c r="C955" s="66">
        <v>1.0</v>
      </c>
      <c r="D955" s="66" t="s">
        <v>205</v>
      </c>
      <c r="E955" s="66">
        <v>1.0</v>
      </c>
      <c r="F955" s="66">
        <v>1.1207</v>
      </c>
      <c r="G955" s="66">
        <v>0.525</v>
      </c>
      <c r="H955" s="66" t="s">
        <v>226</v>
      </c>
      <c r="I955" s="81">
        <f t="shared" si="1"/>
        <v>1.134666667</v>
      </c>
      <c r="J955" s="81">
        <f t="shared" si="2"/>
        <v>0.4684572142</v>
      </c>
    </row>
    <row r="956">
      <c r="A956" s="82">
        <v>44690.0</v>
      </c>
      <c r="B956" s="66">
        <v>2089.0</v>
      </c>
      <c r="C956" s="66">
        <v>1.0</v>
      </c>
      <c r="D956" s="66" t="s">
        <v>204</v>
      </c>
      <c r="E956" s="66">
        <v>0.0</v>
      </c>
      <c r="F956" s="66">
        <v>0.6404</v>
      </c>
      <c r="G956" s="66">
        <v>0.3</v>
      </c>
      <c r="H956" s="66" t="s">
        <v>226</v>
      </c>
      <c r="I956" s="81">
        <f t="shared" si="1"/>
        <v>1.134666667</v>
      </c>
      <c r="J956" s="81">
        <f t="shared" si="2"/>
        <v>0.4684572142</v>
      </c>
    </row>
    <row r="957">
      <c r="A957" s="82">
        <v>44690.0</v>
      </c>
      <c r="B957" s="66">
        <v>2089.0</v>
      </c>
      <c r="C957" s="66">
        <v>1.0</v>
      </c>
      <c r="D957" s="66" t="s">
        <v>204</v>
      </c>
      <c r="E957" s="66">
        <v>1.0</v>
      </c>
      <c r="F957" s="66">
        <v>0.4046</v>
      </c>
      <c r="G957" s="66">
        <v>0.1895</v>
      </c>
      <c r="H957" s="66" t="s">
        <v>226</v>
      </c>
      <c r="I957" s="81">
        <f t="shared" si="1"/>
        <v>1.135092348</v>
      </c>
      <c r="J957" s="81">
        <f t="shared" si="2"/>
        <v>0.4683638161</v>
      </c>
    </row>
    <row r="958">
      <c r="A958" s="82">
        <v>44690.0</v>
      </c>
      <c r="B958" s="66">
        <v>2089.0</v>
      </c>
      <c r="C958" s="66">
        <v>2.0</v>
      </c>
      <c r="D958" s="66" t="s">
        <v>205</v>
      </c>
      <c r="E958" s="66">
        <v>0.0</v>
      </c>
      <c r="F958" s="66">
        <v>0.0079</v>
      </c>
      <c r="G958" s="66">
        <v>0.0037</v>
      </c>
      <c r="H958" s="66" t="s">
        <v>226</v>
      </c>
      <c r="I958" s="81">
        <f t="shared" si="1"/>
        <v>1.135135135</v>
      </c>
      <c r="J958" s="81">
        <f t="shared" si="2"/>
        <v>0.4683544304</v>
      </c>
    </row>
    <row r="959">
      <c r="A959" s="82">
        <v>44690.0</v>
      </c>
      <c r="B959" s="66">
        <v>2089.0</v>
      </c>
      <c r="C959" s="66">
        <v>2.0</v>
      </c>
      <c r="D959" s="66" t="s">
        <v>204</v>
      </c>
      <c r="E959" s="66">
        <v>0.0</v>
      </c>
      <c r="F959" s="66">
        <v>0.1232</v>
      </c>
      <c r="G959" s="66">
        <v>0.0577</v>
      </c>
      <c r="H959" s="66" t="s">
        <v>226</v>
      </c>
      <c r="I959" s="81">
        <f t="shared" si="1"/>
        <v>1.135181976</v>
      </c>
      <c r="J959" s="81">
        <f t="shared" si="2"/>
        <v>0.4683441558</v>
      </c>
    </row>
    <row r="960">
      <c r="A960" s="82">
        <v>44690.0</v>
      </c>
      <c r="B960" s="66">
        <v>2090.0</v>
      </c>
      <c r="C960" s="66">
        <v>1.0</v>
      </c>
      <c r="D960" s="66" t="s">
        <v>205</v>
      </c>
      <c r="E960" s="66">
        <v>0.0</v>
      </c>
      <c r="F960" s="66">
        <v>0.1516</v>
      </c>
      <c r="G960" s="66">
        <v>0.071</v>
      </c>
      <c r="H960" s="66" t="s">
        <v>227</v>
      </c>
      <c r="I960" s="81">
        <f t="shared" si="1"/>
        <v>1.135211268</v>
      </c>
      <c r="J960" s="81">
        <f t="shared" si="2"/>
        <v>0.4683377309</v>
      </c>
    </row>
    <row r="961">
      <c r="A961" s="82">
        <v>44690.0</v>
      </c>
      <c r="B961" s="66">
        <v>2090.0</v>
      </c>
      <c r="C961" s="66">
        <v>1.0</v>
      </c>
      <c r="D961" s="66" t="s">
        <v>204</v>
      </c>
      <c r="E961" s="66">
        <v>0.0</v>
      </c>
      <c r="F961" s="66">
        <v>0.126</v>
      </c>
      <c r="G961" s="66">
        <v>0.059</v>
      </c>
      <c r="H961" s="66" t="s">
        <v>227</v>
      </c>
      <c r="I961" s="81">
        <f t="shared" si="1"/>
        <v>1.13559322</v>
      </c>
      <c r="J961" s="81">
        <f t="shared" si="2"/>
        <v>0.4682539683</v>
      </c>
    </row>
    <row r="962">
      <c r="A962" s="82">
        <v>44690.0</v>
      </c>
      <c r="B962" s="66">
        <v>2090.0</v>
      </c>
      <c r="C962" s="66">
        <v>1.0</v>
      </c>
      <c r="D962" s="66" t="s">
        <v>204</v>
      </c>
      <c r="E962" s="66">
        <v>1.0</v>
      </c>
      <c r="F962" s="66">
        <v>0.0361</v>
      </c>
      <c r="G962" s="66">
        <v>0.0169</v>
      </c>
      <c r="H962" s="66" t="s">
        <v>230</v>
      </c>
      <c r="I962" s="81">
        <f t="shared" si="1"/>
        <v>1.136094675</v>
      </c>
      <c r="J962" s="81">
        <f t="shared" si="2"/>
        <v>0.4681440443</v>
      </c>
    </row>
    <row r="963">
      <c r="A963" s="82">
        <v>44690.0</v>
      </c>
      <c r="B963" s="66">
        <v>2090.0</v>
      </c>
      <c r="C963" s="66">
        <v>2.0</v>
      </c>
      <c r="D963" s="66" t="s">
        <v>205</v>
      </c>
      <c r="E963" s="66">
        <v>0.0</v>
      </c>
      <c r="F963" s="66">
        <v>0.1239</v>
      </c>
      <c r="G963" s="66">
        <v>0.058</v>
      </c>
      <c r="H963" s="66" t="s">
        <v>227</v>
      </c>
      <c r="I963" s="81">
        <f t="shared" si="1"/>
        <v>1.136206897</v>
      </c>
      <c r="J963" s="81">
        <f t="shared" si="2"/>
        <v>0.4681194512</v>
      </c>
    </row>
    <row r="964">
      <c r="A964" s="82">
        <v>44690.0</v>
      </c>
      <c r="B964" s="66">
        <v>2090.0</v>
      </c>
      <c r="C964" s="66">
        <v>2.0</v>
      </c>
      <c r="D964" s="66" t="s">
        <v>204</v>
      </c>
      <c r="E964" s="66">
        <v>0.0</v>
      </c>
      <c r="F964" s="66">
        <v>0.3418</v>
      </c>
      <c r="G964" s="66">
        <v>0.1599</v>
      </c>
      <c r="I964" s="81">
        <f t="shared" si="1"/>
        <v>1.137585991</v>
      </c>
      <c r="J964" s="81">
        <f t="shared" si="2"/>
        <v>0.4678174371</v>
      </c>
    </row>
    <row r="965">
      <c r="A965" s="82">
        <v>44690.0</v>
      </c>
      <c r="B965" s="66">
        <v>2090.0</v>
      </c>
      <c r="C965" s="66">
        <v>2.0</v>
      </c>
      <c r="D965" s="66" t="s">
        <v>204</v>
      </c>
      <c r="E965" s="66">
        <v>1.0</v>
      </c>
      <c r="F965" s="66">
        <v>0.1411</v>
      </c>
      <c r="G965" s="66">
        <v>0.066</v>
      </c>
      <c r="H965" s="66" t="s">
        <v>227</v>
      </c>
      <c r="I965" s="81">
        <f t="shared" si="1"/>
        <v>1.137878788</v>
      </c>
      <c r="J965" s="81">
        <f t="shared" si="2"/>
        <v>0.4677533664</v>
      </c>
    </row>
    <row r="966">
      <c r="A966" s="82">
        <v>44690.0</v>
      </c>
      <c r="B966" s="66">
        <v>2090.0</v>
      </c>
      <c r="C966" s="66">
        <v>3.0</v>
      </c>
      <c r="D966" s="66" t="s">
        <v>205</v>
      </c>
      <c r="E966" s="66">
        <v>0.0</v>
      </c>
      <c r="F966" s="66">
        <v>0.17</v>
      </c>
      <c r="G966" s="66">
        <v>0.0795</v>
      </c>
      <c r="H966" s="66" t="s">
        <v>227</v>
      </c>
      <c r="I966" s="81">
        <f t="shared" si="1"/>
        <v>1.13836478</v>
      </c>
      <c r="J966" s="81">
        <f t="shared" si="2"/>
        <v>0.4676470588</v>
      </c>
    </row>
    <row r="967">
      <c r="A967" s="82">
        <v>44690.0</v>
      </c>
      <c r="B967" s="66">
        <v>2090.0</v>
      </c>
      <c r="C967" s="66">
        <v>3.0</v>
      </c>
      <c r="D967" s="66" t="s">
        <v>204</v>
      </c>
      <c r="E967" s="66">
        <v>0.0</v>
      </c>
      <c r="F967" s="66">
        <v>0.1668</v>
      </c>
      <c r="G967" s="66">
        <v>0.078</v>
      </c>
      <c r="H967" s="66" t="s">
        <v>227</v>
      </c>
      <c r="I967" s="81">
        <f t="shared" si="1"/>
        <v>1.138461538</v>
      </c>
      <c r="J967" s="81">
        <f t="shared" si="2"/>
        <v>0.4676258993</v>
      </c>
    </row>
    <row r="968">
      <c r="A968" s="82">
        <v>44690.0</v>
      </c>
      <c r="B968" s="66">
        <v>2090.0</v>
      </c>
      <c r="C968" s="66">
        <v>3.0</v>
      </c>
      <c r="D968" s="66" t="s">
        <v>204</v>
      </c>
      <c r="E968" s="66">
        <v>1.0</v>
      </c>
      <c r="F968" s="66">
        <v>0.678</v>
      </c>
      <c r="G968" s="66">
        <v>0.317</v>
      </c>
      <c r="H968" s="66" t="s">
        <v>226</v>
      </c>
      <c r="I968" s="81">
        <f t="shared" si="1"/>
        <v>1.138801262</v>
      </c>
      <c r="J968" s="81">
        <f t="shared" si="2"/>
        <v>0.4675516224</v>
      </c>
    </row>
    <row r="969">
      <c r="A969" s="82">
        <v>44690.0</v>
      </c>
      <c r="B969" s="66">
        <v>2091.0</v>
      </c>
      <c r="C969" s="66">
        <v>1.0</v>
      </c>
      <c r="D969" s="66" t="s">
        <v>205</v>
      </c>
      <c r="E969" s="66">
        <v>0.0</v>
      </c>
      <c r="F969" s="84">
        <v>0.58</v>
      </c>
      <c r="G969" s="66">
        <v>0.2711</v>
      </c>
      <c r="I969" s="81">
        <f t="shared" si="1"/>
        <v>1.139431944</v>
      </c>
      <c r="J969" s="81">
        <f t="shared" si="2"/>
        <v>0.4674137931</v>
      </c>
    </row>
    <row r="970">
      <c r="A970" s="82">
        <v>44690.0</v>
      </c>
      <c r="B970" s="66">
        <v>2091.0</v>
      </c>
      <c r="C970" s="66">
        <v>1.0</v>
      </c>
      <c r="D970" s="66" t="s">
        <v>205</v>
      </c>
      <c r="E970" s="66">
        <v>1.0</v>
      </c>
      <c r="F970" s="66">
        <v>0.4911</v>
      </c>
      <c r="G970" s="66">
        <v>0.2295</v>
      </c>
      <c r="I970" s="81">
        <f t="shared" si="1"/>
        <v>1.139869281</v>
      </c>
      <c r="J970" s="81">
        <f t="shared" si="2"/>
        <v>0.4673182651</v>
      </c>
    </row>
    <row r="971">
      <c r="A971" s="82">
        <v>44690.0</v>
      </c>
      <c r="B971" s="66">
        <v>2091.0</v>
      </c>
      <c r="C971" s="66">
        <v>1.0</v>
      </c>
      <c r="D971" s="66" t="s">
        <v>204</v>
      </c>
      <c r="E971" s="66">
        <v>0.0</v>
      </c>
      <c r="F971" s="66">
        <v>0.0953</v>
      </c>
      <c r="G971" s="66">
        <v>0.0445</v>
      </c>
      <c r="H971" s="66" t="s">
        <v>226</v>
      </c>
      <c r="I971" s="81">
        <f t="shared" si="1"/>
        <v>1.141573034</v>
      </c>
      <c r="J971" s="81">
        <f t="shared" si="2"/>
        <v>0.4669464848</v>
      </c>
    </row>
    <row r="972">
      <c r="A972" s="82">
        <v>44690.0</v>
      </c>
      <c r="B972" s="66">
        <v>2091.0</v>
      </c>
      <c r="C972" s="66">
        <v>1.0</v>
      </c>
      <c r="D972" s="66" t="s">
        <v>204</v>
      </c>
      <c r="E972" s="66">
        <v>1.0</v>
      </c>
      <c r="F972" s="66">
        <v>1.4565</v>
      </c>
      <c r="G972" s="66">
        <v>0.68</v>
      </c>
      <c r="H972" s="66" t="s">
        <v>226</v>
      </c>
      <c r="I972" s="81">
        <f t="shared" si="1"/>
        <v>1.141911765</v>
      </c>
      <c r="J972" s="81">
        <f t="shared" si="2"/>
        <v>0.4668726399</v>
      </c>
    </row>
    <row r="973">
      <c r="A973" s="82">
        <v>44690.0</v>
      </c>
      <c r="B973" s="66">
        <v>2091.0</v>
      </c>
      <c r="C973" s="66">
        <v>3.0</v>
      </c>
      <c r="D973" s="66" t="s">
        <v>205</v>
      </c>
      <c r="E973" s="66">
        <v>0.0</v>
      </c>
      <c r="F973" s="66">
        <v>0.0707</v>
      </c>
      <c r="G973" s="66">
        <v>0.033</v>
      </c>
      <c r="I973" s="81">
        <f t="shared" si="1"/>
        <v>1.142424242</v>
      </c>
      <c r="J973" s="81">
        <f t="shared" si="2"/>
        <v>0.4667609618</v>
      </c>
    </row>
    <row r="974">
      <c r="A974" s="82">
        <v>44690.0</v>
      </c>
      <c r="B974" s="66">
        <v>2091.0</v>
      </c>
      <c r="C974" s="66">
        <v>3.0</v>
      </c>
      <c r="D974" s="66" t="s">
        <v>204</v>
      </c>
      <c r="E974" s="66">
        <v>0.0</v>
      </c>
      <c r="F974" s="66">
        <v>0.8544</v>
      </c>
      <c r="G974" s="66">
        <v>0.3987</v>
      </c>
      <c r="H974" s="66" t="s">
        <v>230</v>
      </c>
      <c r="I974" s="81">
        <f t="shared" si="1"/>
        <v>1.142964635</v>
      </c>
      <c r="J974" s="81">
        <f t="shared" si="2"/>
        <v>0.4666432584</v>
      </c>
    </row>
    <row r="975">
      <c r="A975" s="82">
        <v>44690.0</v>
      </c>
      <c r="B975" s="66">
        <v>2092.0</v>
      </c>
      <c r="C975" s="66">
        <v>1.0</v>
      </c>
      <c r="D975" s="66" t="s">
        <v>205</v>
      </c>
      <c r="E975" s="66">
        <v>1.0</v>
      </c>
      <c r="F975" s="66">
        <v>0.0193</v>
      </c>
      <c r="G975" s="66">
        <v>0.009</v>
      </c>
      <c r="H975" s="66" t="s">
        <v>227</v>
      </c>
      <c r="I975" s="81">
        <f t="shared" si="1"/>
        <v>1.144444444</v>
      </c>
      <c r="J975" s="81">
        <f t="shared" si="2"/>
        <v>0.4663212435</v>
      </c>
    </row>
    <row r="976">
      <c r="A976" s="82">
        <v>44690.0</v>
      </c>
      <c r="B976" s="66">
        <v>2092.0</v>
      </c>
      <c r="C976" s="66">
        <v>1.0</v>
      </c>
      <c r="D976" s="66" t="s">
        <v>204</v>
      </c>
      <c r="E976" s="66">
        <v>1.0</v>
      </c>
      <c r="F976" s="66">
        <v>0.2381</v>
      </c>
      <c r="G976" s="66">
        <v>0.111</v>
      </c>
      <c r="I976" s="81">
        <f t="shared" si="1"/>
        <v>1.145045045</v>
      </c>
      <c r="J976" s="81">
        <f t="shared" si="2"/>
        <v>0.4661906762</v>
      </c>
    </row>
    <row r="977">
      <c r="A977" s="82">
        <v>44690.0</v>
      </c>
      <c r="B977" s="66">
        <v>2092.0</v>
      </c>
      <c r="C977" s="66">
        <v>1.0</v>
      </c>
      <c r="D977" s="66" t="s">
        <v>204</v>
      </c>
      <c r="E977" s="66">
        <v>1.0</v>
      </c>
      <c r="F977" s="66">
        <v>0.9132</v>
      </c>
      <c r="G977" s="66">
        <v>0.4257</v>
      </c>
      <c r="I977" s="81">
        <f t="shared" si="1"/>
        <v>1.145172657</v>
      </c>
      <c r="J977" s="81">
        <f t="shared" si="2"/>
        <v>0.4661629435</v>
      </c>
    </row>
    <row r="978">
      <c r="A978" s="82">
        <v>44690.0</v>
      </c>
      <c r="B978" s="66">
        <v>2092.0</v>
      </c>
      <c r="C978" s="66">
        <v>2.0</v>
      </c>
      <c r="D978" s="66" t="s">
        <v>205</v>
      </c>
      <c r="E978" s="66">
        <v>0.0</v>
      </c>
      <c r="F978" s="66">
        <v>0.747</v>
      </c>
      <c r="G978" s="66">
        <v>0.3482</v>
      </c>
      <c r="I978" s="81">
        <f t="shared" si="1"/>
        <v>1.145318782</v>
      </c>
      <c r="J978" s="81">
        <f t="shared" si="2"/>
        <v>0.4661311914</v>
      </c>
    </row>
    <row r="979">
      <c r="A979" s="82">
        <v>44690.0</v>
      </c>
      <c r="B979" s="66">
        <v>2092.0</v>
      </c>
      <c r="C979" s="66">
        <v>2.0</v>
      </c>
      <c r="D979" s="66" t="s">
        <v>205</v>
      </c>
      <c r="E979" s="66">
        <v>1.0</v>
      </c>
      <c r="F979" s="66">
        <v>0.1908</v>
      </c>
      <c r="G979" s="66">
        <v>0.0889</v>
      </c>
      <c r="I979" s="81">
        <f t="shared" si="1"/>
        <v>1.146231721</v>
      </c>
      <c r="J979" s="81">
        <f t="shared" si="2"/>
        <v>0.465932914</v>
      </c>
    </row>
    <row r="980">
      <c r="A980" s="82">
        <v>44690.0</v>
      </c>
      <c r="B980" s="66">
        <v>2092.0</v>
      </c>
      <c r="C980" s="66">
        <v>2.0</v>
      </c>
      <c r="D980" s="66" t="s">
        <v>204</v>
      </c>
      <c r="E980" s="66">
        <v>0.0</v>
      </c>
      <c r="F980" s="66">
        <v>0.2919</v>
      </c>
      <c r="G980" s="66">
        <v>0.136</v>
      </c>
      <c r="H980" s="66" t="s">
        <v>227</v>
      </c>
      <c r="I980" s="81">
        <f t="shared" si="1"/>
        <v>1.146323529</v>
      </c>
      <c r="J980" s="81">
        <f t="shared" si="2"/>
        <v>0.4659129839</v>
      </c>
    </row>
    <row r="981">
      <c r="A981" s="82">
        <v>44690.0</v>
      </c>
      <c r="B981" s="66">
        <v>2092.0</v>
      </c>
      <c r="C981" s="66">
        <v>3.0</v>
      </c>
      <c r="D981" s="66" t="s">
        <v>205</v>
      </c>
      <c r="E981" s="66">
        <v>0.0</v>
      </c>
      <c r="F981" s="66">
        <v>0.0966</v>
      </c>
      <c r="G981" s="66">
        <v>0.045</v>
      </c>
      <c r="H981" s="66" t="s">
        <v>227</v>
      </c>
      <c r="I981" s="81">
        <f t="shared" si="1"/>
        <v>1.146666667</v>
      </c>
      <c r="J981" s="81">
        <f t="shared" si="2"/>
        <v>0.4658385093</v>
      </c>
    </row>
    <row r="982">
      <c r="A982" s="82">
        <v>44690.0</v>
      </c>
      <c r="B982" s="66">
        <v>2092.0</v>
      </c>
      <c r="C982" s="66">
        <v>3.0</v>
      </c>
      <c r="D982" s="66" t="s">
        <v>205</v>
      </c>
      <c r="E982" s="66">
        <v>1.0</v>
      </c>
      <c r="F982" s="66">
        <v>0.3071</v>
      </c>
      <c r="G982" s="66">
        <v>0.143</v>
      </c>
      <c r="H982" s="66" t="s">
        <v>226</v>
      </c>
      <c r="I982" s="81">
        <f t="shared" si="1"/>
        <v>1.147552448</v>
      </c>
      <c r="J982" s="81">
        <f t="shared" si="2"/>
        <v>0.4656463693</v>
      </c>
    </row>
    <row r="983">
      <c r="A983" s="82">
        <v>44690.0</v>
      </c>
      <c r="B983" s="66">
        <v>2092.0</v>
      </c>
      <c r="C983" s="66">
        <v>3.0</v>
      </c>
      <c r="D983" s="66" t="s">
        <v>204</v>
      </c>
      <c r="E983" s="66">
        <v>0.0</v>
      </c>
      <c r="F983" s="66">
        <v>1.1447</v>
      </c>
      <c r="G983" s="66">
        <v>0.533</v>
      </c>
      <c r="H983" s="66" t="s">
        <v>227</v>
      </c>
      <c r="I983" s="81">
        <f t="shared" si="1"/>
        <v>1.147654784</v>
      </c>
      <c r="J983" s="81">
        <f t="shared" si="2"/>
        <v>0.465624181</v>
      </c>
    </row>
    <row r="984">
      <c r="A984" s="82">
        <v>44690.0</v>
      </c>
      <c r="B984" s="66">
        <v>2092.0</v>
      </c>
      <c r="C984" s="66">
        <v>3.0</v>
      </c>
      <c r="D984" s="66" t="s">
        <v>204</v>
      </c>
      <c r="E984" s="66">
        <v>1.0</v>
      </c>
      <c r="F984" s="66">
        <v>0.4596</v>
      </c>
      <c r="G984" s="66">
        <v>0.214</v>
      </c>
      <c r="H984" s="66" t="s">
        <v>227</v>
      </c>
      <c r="I984" s="81">
        <f t="shared" si="1"/>
        <v>1.147663551</v>
      </c>
      <c r="J984" s="81">
        <f t="shared" si="2"/>
        <v>0.4656222802</v>
      </c>
    </row>
    <row r="985">
      <c r="A985" s="82">
        <v>44690.0</v>
      </c>
      <c r="B985" s="66">
        <v>2093.0</v>
      </c>
      <c r="C985" s="66">
        <v>1.0</v>
      </c>
      <c r="D985" s="66" t="s">
        <v>205</v>
      </c>
      <c r="E985" s="66">
        <v>0.0</v>
      </c>
      <c r="F985" s="66">
        <v>0.6176</v>
      </c>
      <c r="G985" s="66">
        <v>0.2874</v>
      </c>
      <c r="I985" s="81">
        <f t="shared" si="1"/>
        <v>1.148921364</v>
      </c>
      <c r="J985" s="81">
        <f t="shared" si="2"/>
        <v>0.4653497409</v>
      </c>
    </row>
    <row r="986">
      <c r="A986" s="82">
        <v>44690.0</v>
      </c>
      <c r="B986" s="66">
        <v>2093.0</v>
      </c>
      <c r="C986" s="66">
        <v>1.0</v>
      </c>
      <c r="D986" s="66" t="s">
        <v>205</v>
      </c>
      <c r="E986" s="66">
        <v>1.0</v>
      </c>
      <c r="F986" s="66">
        <v>0.268</v>
      </c>
      <c r="G986" s="66">
        <v>0.1247</v>
      </c>
      <c r="H986" s="66" t="s">
        <v>226</v>
      </c>
      <c r="I986" s="81">
        <f t="shared" si="1"/>
        <v>1.149157979</v>
      </c>
      <c r="J986" s="81">
        <f t="shared" si="2"/>
        <v>0.4652985075</v>
      </c>
    </row>
    <row r="987">
      <c r="A987" s="82">
        <v>44690.0</v>
      </c>
      <c r="B987" s="66">
        <v>2093.0</v>
      </c>
      <c r="C987" s="66">
        <v>1.0</v>
      </c>
      <c r="D987" s="66" t="s">
        <v>204</v>
      </c>
      <c r="E987" s="66">
        <v>0.0</v>
      </c>
      <c r="F987" s="66">
        <v>0.5382</v>
      </c>
      <c r="G987" s="66">
        <v>0.2504</v>
      </c>
      <c r="H987" s="66" t="s">
        <v>226</v>
      </c>
      <c r="I987" s="81">
        <f t="shared" si="1"/>
        <v>1.149361022</v>
      </c>
      <c r="J987" s="81">
        <f t="shared" si="2"/>
        <v>0.4652545522</v>
      </c>
    </row>
    <row r="988">
      <c r="A988" s="82">
        <v>44690.0</v>
      </c>
      <c r="B988" s="66">
        <v>2093.0</v>
      </c>
      <c r="C988" s="66">
        <v>1.0</v>
      </c>
      <c r="D988" s="66" t="s">
        <v>204</v>
      </c>
      <c r="E988" s="66">
        <v>1.0</v>
      </c>
      <c r="F988" s="66">
        <v>1.6937</v>
      </c>
      <c r="G988" s="66">
        <v>0.788</v>
      </c>
      <c r="H988" s="66" t="s">
        <v>226</v>
      </c>
      <c r="I988" s="81">
        <f t="shared" si="1"/>
        <v>1.149365482</v>
      </c>
      <c r="J988" s="81">
        <f t="shared" si="2"/>
        <v>0.4652535868</v>
      </c>
    </row>
    <row r="989">
      <c r="A989" s="82">
        <v>44690.0</v>
      </c>
      <c r="B989" s="66">
        <v>2093.0</v>
      </c>
      <c r="C989" s="66">
        <v>2.0</v>
      </c>
      <c r="D989" s="66" t="s">
        <v>205</v>
      </c>
      <c r="E989" s="66">
        <v>0.0</v>
      </c>
      <c r="F989" s="66">
        <v>0.1097</v>
      </c>
      <c r="G989" s="66">
        <v>0.051</v>
      </c>
      <c r="H989" s="66" t="s">
        <v>227</v>
      </c>
      <c r="I989" s="81">
        <f t="shared" si="1"/>
        <v>1.150980392</v>
      </c>
      <c r="J989" s="81">
        <f t="shared" si="2"/>
        <v>0.4649042844</v>
      </c>
    </row>
    <row r="990">
      <c r="A990" s="82">
        <v>44690.0</v>
      </c>
      <c r="B990" s="66">
        <v>2093.0</v>
      </c>
      <c r="C990" s="66">
        <v>2.0</v>
      </c>
      <c r="D990" s="66" t="s">
        <v>205</v>
      </c>
      <c r="E990" s="66">
        <v>1.0</v>
      </c>
      <c r="F990" s="66">
        <v>0.0568</v>
      </c>
      <c r="G990" s="66">
        <v>0.0264</v>
      </c>
      <c r="H990" s="66" t="s">
        <v>230</v>
      </c>
      <c r="I990" s="81">
        <f t="shared" si="1"/>
        <v>1.151515152</v>
      </c>
      <c r="J990" s="81">
        <f t="shared" si="2"/>
        <v>0.4647887324</v>
      </c>
    </row>
    <row r="991">
      <c r="A991" s="82">
        <v>44690.0</v>
      </c>
      <c r="B991" s="66">
        <v>2093.0</v>
      </c>
      <c r="C991" s="66">
        <v>2.0</v>
      </c>
      <c r="D991" s="66" t="s">
        <v>204</v>
      </c>
      <c r="E991" s="66">
        <v>0.0</v>
      </c>
      <c r="F991" s="66">
        <v>0.2143</v>
      </c>
      <c r="G991" s="66">
        <v>0.0996</v>
      </c>
      <c r="H991" s="66" t="s">
        <v>230</v>
      </c>
      <c r="I991" s="81">
        <f t="shared" si="1"/>
        <v>1.151606426</v>
      </c>
      <c r="J991" s="81">
        <f t="shared" si="2"/>
        <v>0.4647690154</v>
      </c>
    </row>
    <row r="992">
      <c r="A992" s="82">
        <v>44690.0</v>
      </c>
      <c r="B992" s="66">
        <v>2093.0</v>
      </c>
      <c r="C992" s="66">
        <v>2.0</v>
      </c>
      <c r="D992" s="66" t="s">
        <v>204</v>
      </c>
      <c r="E992" s="66">
        <v>1.0</v>
      </c>
      <c r="F992" s="66">
        <v>0.099</v>
      </c>
      <c r="G992" s="66">
        <v>0.046</v>
      </c>
      <c r="H992" s="66" t="s">
        <v>227</v>
      </c>
      <c r="I992" s="81">
        <f t="shared" si="1"/>
        <v>1.152173913</v>
      </c>
      <c r="J992" s="81">
        <f t="shared" si="2"/>
        <v>0.4646464646</v>
      </c>
    </row>
    <row r="993">
      <c r="A993" s="82">
        <v>44690.0</v>
      </c>
      <c r="B993" s="66">
        <v>2093.0</v>
      </c>
      <c r="C993" s="66">
        <v>3.0</v>
      </c>
      <c r="D993" s="66" t="s">
        <v>205</v>
      </c>
      <c r="E993" s="66">
        <v>0.0</v>
      </c>
      <c r="F993" s="66">
        <v>0.0773</v>
      </c>
      <c r="G993" s="66">
        <v>0.0359</v>
      </c>
      <c r="I993" s="81">
        <f t="shared" si="1"/>
        <v>1.153203343</v>
      </c>
      <c r="J993" s="81">
        <f t="shared" si="2"/>
        <v>0.4644243208</v>
      </c>
    </row>
    <row r="994">
      <c r="A994" s="82">
        <v>44690.0</v>
      </c>
      <c r="B994" s="66">
        <v>2093.0</v>
      </c>
      <c r="C994" s="66">
        <v>3.0</v>
      </c>
      <c r="D994" s="66" t="s">
        <v>205</v>
      </c>
      <c r="E994" s="66">
        <v>1.0</v>
      </c>
      <c r="F994" s="66">
        <v>0.2175</v>
      </c>
      <c r="G994" s="66">
        <v>0.101</v>
      </c>
      <c r="H994" s="66" t="s">
        <v>226</v>
      </c>
      <c r="I994" s="81">
        <f t="shared" si="1"/>
        <v>1.153465347</v>
      </c>
      <c r="J994" s="81">
        <f t="shared" si="2"/>
        <v>0.4643678161</v>
      </c>
    </row>
    <row r="995">
      <c r="A995" s="82">
        <v>44690.0</v>
      </c>
      <c r="B995" s="66">
        <v>2093.0</v>
      </c>
      <c r="C995" s="66">
        <v>3.0</v>
      </c>
      <c r="D995" s="66" t="s">
        <v>204</v>
      </c>
      <c r="E995" s="66">
        <v>0.0</v>
      </c>
      <c r="F995" s="66">
        <v>2.0931</v>
      </c>
      <c r="G995" s="66">
        <v>0.9718</v>
      </c>
      <c r="H995" s="66" t="s">
        <v>226</v>
      </c>
      <c r="I995" s="81">
        <f t="shared" si="1"/>
        <v>1.153838238</v>
      </c>
      <c r="J995" s="81">
        <f t="shared" si="2"/>
        <v>0.4642874206</v>
      </c>
    </row>
    <row r="996">
      <c r="A996" s="82">
        <v>44690.0</v>
      </c>
      <c r="B996" s="66">
        <v>2093.0</v>
      </c>
      <c r="C996" s="66">
        <v>3.0</v>
      </c>
      <c r="D996" s="66" t="s">
        <v>204</v>
      </c>
      <c r="E996" s="66">
        <v>1.0</v>
      </c>
      <c r="F996" s="66">
        <v>0.3042</v>
      </c>
      <c r="G996" s="66">
        <v>0.1412</v>
      </c>
      <c r="H996" s="66" t="s">
        <v>226</v>
      </c>
      <c r="I996" s="81">
        <f t="shared" si="1"/>
        <v>1.154390935</v>
      </c>
      <c r="J996" s="81">
        <f t="shared" si="2"/>
        <v>0.4641683103</v>
      </c>
    </row>
    <row r="997">
      <c r="A997" s="82">
        <v>44704.0</v>
      </c>
      <c r="B997" s="66">
        <v>2021.0</v>
      </c>
      <c r="C997" s="66">
        <v>1.0</v>
      </c>
      <c r="D997" s="66" t="s">
        <v>204</v>
      </c>
      <c r="E997" s="66">
        <v>0.0</v>
      </c>
      <c r="F997" s="66">
        <v>0.4954</v>
      </c>
      <c r="G997" s="66">
        <v>0.2298</v>
      </c>
      <c r="I997" s="81">
        <f t="shared" si="1"/>
        <v>1.155787641</v>
      </c>
      <c r="J997" s="81">
        <f t="shared" si="2"/>
        <v>0.4638675818</v>
      </c>
    </row>
    <row r="998">
      <c r="A998" s="82">
        <v>44704.0</v>
      </c>
      <c r="B998" s="66">
        <v>2021.0</v>
      </c>
      <c r="C998" s="66">
        <v>1.0</v>
      </c>
      <c r="D998" s="66" t="s">
        <v>204</v>
      </c>
      <c r="E998" s="66">
        <v>1.0</v>
      </c>
      <c r="F998" s="66">
        <v>0.973</v>
      </c>
      <c r="G998" s="66">
        <v>0.4512</v>
      </c>
      <c r="I998" s="81">
        <f t="shared" si="1"/>
        <v>1.156471631</v>
      </c>
      <c r="J998" s="81">
        <f t="shared" si="2"/>
        <v>0.4637204522</v>
      </c>
    </row>
    <row r="999">
      <c r="A999" s="82">
        <v>44704.0</v>
      </c>
      <c r="B999" s="66">
        <v>2021.0</v>
      </c>
      <c r="C999" s="66">
        <v>2.0</v>
      </c>
      <c r="D999" s="66" t="s">
        <v>205</v>
      </c>
      <c r="E999" s="66">
        <v>0.0</v>
      </c>
      <c r="F999" s="66">
        <v>2.2081</v>
      </c>
      <c r="G999" s="66">
        <v>1.0237</v>
      </c>
      <c r="I999" s="81">
        <f t="shared" si="1"/>
        <v>1.156979584</v>
      </c>
      <c r="J999" s="81">
        <f t="shared" si="2"/>
        <v>0.4636112495</v>
      </c>
    </row>
    <row r="1000">
      <c r="A1000" s="82">
        <v>44704.0</v>
      </c>
      <c r="B1000" s="66">
        <v>2021.0</v>
      </c>
      <c r="C1000" s="66">
        <v>2.0</v>
      </c>
      <c r="D1000" s="66" t="s">
        <v>204</v>
      </c>
      <c r="E1000" s="66">
        <v>0.0</v>
      </c>
      <c r="F1000" s="66">
        <v>0.2143</v>
      </c>
      <c r="G1000" s="66">
        <v>0.0993</v>
      </c>
      <c r="H1000" s="66" t="s">
        <v>230</v>
      </c>
      <c r="I1000" s="81">
        <f t="shared" si="1"/>
        <v>1.158106747</v>
      </c>
      <c r="J1000" s="81">
        <f t="shared" si="2"/>
        <v>0.4633691087</v>
      </c>
    </row>
    <row r="1001">
      <c r="A1001" s="82">
        <v>44704.0</v>
      </c>
      <c r="B1001" s="66">
        <v>2021.0</v>
      </c>
      <c r="C1001" s="66">
        <v>2.0</v>
      </c>
      <c r="D1001" s="66" t="s">
        <v>204</v>
      </c>
      <c r="E1001" s="66">
        <v>1.0</v>
      </c>
      <c r="F1001" s="66">
        <v>0.0842</v>
      </c>
      <c r="G1001" s="66">
        <v>0.039</v>
      </c>
      <c r="H1001" s="66" t="s">
        <v>227</v>
      </c>
      <c r="I1001" s="81">
        <f t="shared" si="1"/>
        <v>1.158974359</v>
      </c>
      <c r="J1001" s="81">
        <f t="shared" si="2"/>
        <v>0.4631828979</v>
      </c>
    </row>
    <row r="1002">
      <c r="A1002" s="82">
        <v>44704.0</v>
      </c>
      <c r="B1002" s="66">
        <v>2021.0</v>
      </c>
      <c r="C1002" s="66">
        <v>3.0</v>
      </c>
      <c r="D1002" s="66" t="s">
        <v>205</v>
      </c>
      <c r="E1002" s="66">
        <v>0.0</v>
      </c>
      <c r="F1002" s="66">
        <v>0.0976</v>
      </c>
      <c r="G1002" s="66">
        <v>0.0451</v>
      </c>
      <c r="H1002" s="66" t="s">
        <v>227</v>
      </c>
      <c r="I1002" s="81">
        <f t="shared" si="1"/>
        <v>1.164079823</v>
      </c>
      <c r="J1002" s="81">
        <f t="shared" si="2"/>
        <v>0.4620901639</v>
      </c>
    </row>
    <row r="1003">
      <c r="A1003" s="82">
        <v>44704.0</v>
      </c>
      <c r="B1003" s="66">
        <v>2021.0</v>
      </c>
      <c r="C1003" s="66">
        <v>3.0</v>
      </c>
      <c r="D1003" s="66" t="s">
        <v>204</v>
      </c>
      <c r="E1003" s="66">
        <v>0.0</v>
      </c>
      <c r="F1003" s="66">
        <v>0.526</v>
      </c>
      <c r="G1003" s="66">
        <v>0.243</v>
      </c>
      <c r="I1003" s="81">
        <f t="shared" si="1"/>
        <v>1.164609053</v>
      </c>
      <c r="J1003" s="81">
        <f t="shared" si="2"/>
        <v>0.4619771863</v>
      </c>
    </row>
    <row r="1004">
      <c r="A1004" s="82">
        <v>44704.0</v>
      </c>
      <c r="B1004" s="66">
        <v>2021.0</v>
      </c>
      <c r="C1004" s="66">
        <v>3.0</v>
      </c>
      <c r="D1004" s="66" t="s">
        <v>204</v>
      </c>
      <c r="E1004" s="66">
        <v>1.0</v>
      </c>
      <c r="F1004" s="66">
        <v>0.5629</v>
      </c>
      <c r="G1004" s="66">
        <v>0.26</v>
      </c>
      <c r="H1004" s="66" t="s">
        <v>227</v>
      </c>
      <c r="I1004" s="81">
        <f t="shared" si="1"/>
        <v>1.165</v>
      </c>
      <c r="J1004" s="81">
        <f t="shared" si="2"/>
        <v>0.4618937644</v>
      </c>
    </row>
    <row r="1005">
      <c r="A1005" s="82">
        <v>44704.0</v>
      </c>
      <c r="B1005" s="66">
        <v>2022.0</v>
      </c>
      <c r="C1005" s="66">
        <v>1.0</v>
      </c>
      <c r="D1005" s="66" t="s">
        <v>205</v>
      </c>
      <c r="E1005" s="66">
        <v>0.0</v>
      </c>
      <c r="F1005" s="66">
        <v>0.0996</v>
      </c>
      <c r="G1005" s="66">
        <v>0.046</v>
      </c>
      <c r="I1005" s="81">
        <f t="shared" si="1"/>
        <v>1.165217391</v>
      </c>
      <c r="J1005" s="81">
        <f t="shared" si="2"/>
        <v>0.4618473896</v>
      </c>
    </row>
    <row r="1006">
      <c r="A1006" s="82">
        <v>44704.0</v>
      </c>
      <c r="B1006" s="66">
        <v>2022.0</v>
      </c>
      <c r="C1006" s="66">
        <v>1.0</v>
      </c>
      <c r="D1006" s="66" t="s">
        <v>205</v>
      </c>
      <c r="E1006" s="66">
        <v>1.0</v>
      </c>
      <c r="F1006" s="66">
        <v>0.825</v>
      </c>
      <c r="G1006" s="66">
        <v>0.381</v>
      </c>
      <c r="H1006" s="66" t="s">
        <v>227</v>
      </c>
      <c r="I1006" s="81">
        <f t="shared" si="1"/>
        <v>1.165354331</v>
      </c>
      <c r="J1006" s="81">
        <f t="shared" si="2"/>
        <v>0.4618181818</v>
      </c>
    </row>
    <row r="1007">
      <c r="A1007" s="82">
        <v>44704.0</v>
      </c>
      <c r="B1007" s="66">
        <v>2022.0</v>
      </c>
      <c r="C1007" s="66">
        <v>1.0</v>
      </c>
      <c r="D1007" s="66" t="s">
        <v>204</v>
      </c>
      <c r="E1007" s="66">
        <v>0.0</v>
      </c>
      <c r="F1007" s="66">
        <v>0.209</v>
      </c>
      <c r="G1007" s="66">
        <v>0.0965</v>
      </c>
      <c r="I1007" s="81">
        <f t="shared" si="1"/>
        <v>1.165803109</v>
      </c>
      <c r="J1007" s="81">
        <f t="shared" si="2"/>
        <v>0.461722488</v>
      </c>
    </row>
    <row r="1008">
      <c r="A1008" s="82">
        <v>44704.0</v>
      </c>
      <c r="B1008" s="66">
        <v>2022.0</v>
      </c>
      <c r="C1008" s="66">
        <v>1.0</v>
      </c>
      <c r="D1008" s="66" t="s">
        <v>204</v>
      </c>
      <c r="E1008" s="66">
        <v>1.0</v>
      </c>
      <c r="F1008" s="66">
        <v>0.0481</v>
      </c>
      <c r="G1008" s="66">
        <v>0.0222</v>
      </c>
      <c r="I1008" s="81">
        <f t="shared" si="1"/>
        <v>1.166666667</v>
      </c>
      <c r="J1008" s="81">
        <f t="shared" si="2"/>
        <v>0.4615384615</v>
      </c>
    </row>
    <row r="1009">
      <c r="A1009" s="82">
        <v>44704.0</v>
      </c>
      <c r="B1009" s="66">
        <v>2022.0</v>
      </c>
      <c r="C1009" s="66">
        <v>2.0</v>
      </c>
      <c r="D1009" s="66" t="s">
        <v>205</v>
      </c>
      <c r="E1009" s="66">
        <v>0.0</v>
      </c>
      <c r="F1009" s="66">
        <v>0.273</v>
      </c>
      <c r="G1009" s="66">
        <v>0.126</v>
      </c>
      <c r="H1009" s="66" t="s">
        <v>226</v>
      </c>
      <c r="I1009" s="81">
        <f t="shared" si="1"/>
        <v>1.166666667</v>
      </c>
      <c r="J1009" s="81">
        <f t="shared" si="2"/>
        <v>0.4615384615</v>
      </c>
    </row>
    <row r="1010">
      <c r="A1010" s="82">
        <v>44704.0</v>
      </c>
      <c r="B1010" s="66">
        <v>2022.0</v>
      </c>
      <c r="C1010" s="66">
        <v>2.0</v>
      </c>
      <c r="D1010" s="66" t="s">
        <v>205</v>
      </c>
      <c r="E1010" s="66">
        <v>1.0</v>
      </c>
      <c r="F1010" s="66">
        <v>0.2341</v>
      </c>
      <c r="G1010" s="66">
        <v>0.108</v>
      </c>
      <c r="H1010" s="66" t="s">
        <v>227</v>
      </c>
      <c r="I1010" s="81">
        <f t="shared" si="1"/>
        <v>1.167592593</v>
      </c>
      <c r="J1010" s="81">
        <f t="shared" si="2"/>
        <v>0.4613413071</v>
      </c>
    </row>
    <row r="1011">
      <c r="A1011" s="82">
        <v>44704.0</v>
      </c>
      <c r="B1011" s="66">
        <v>2022.0</v>
      </c>
      <c r="C1011" s="66">
        <v>2.0</v>
      </c>
      <c r="D1011" s="66" t="s">
        <v>204</v>
      </c>
      <c r="E1011" s="66">
        <v>0.0</v>
      </c>
      <c r="F1011" s="66">
        <v>1.7516</v>
      </c>
      <c r="G1011" s="66">
        <v>0.8078</v>
      </c>
      <c r="H1011" s="66" t="s">
        <v>226</v>
      </c>
      <c r="I1011" s="81">
        <f t="shared" si="1"/>
        <v>1.168358505</v>
      </c>
      <c r="J1011" s="81">
        <f t="shared" si="2"/>
        <v>0.4611783512</v>
      </c>
    </row>
    <row r="1012">
      <c r="A1012" s="82">
        <v>44704.0</v>
      </c>
      <c r="B1012" s="66">
        <v>2022.0</v>
      </c>
      <c r="C1012" s="66">
        <v>2.0</v>
      </c>
      <c r="D1012" s="66" t="s">
        <v>204</v>
      </c>
      <c r="E1012" s="66">
        <v>1.0</v>
      </c>
      <c r="F1012" s="66">
        <v>0.2032</v>
      </c>
      <c r="G1012" s="66">
        <v>0.0937</v>
      </c>
      <c r="H1012" s="66" t="s">
        <v>226</v>
      </c>
      <c r="I1012" s="81">
        <f t="shared" si="1"/>
        <v>1.168623266</v>
      </c>
      <c r="J1012" s="81">
        <f t="shared" si="2"/>
        <v>0.4611220472</v>
      </c>
    </row>
    <row r="1013">
      <c r="A1013" s="82">
        <v>44704.0</v>
      </c>
      <c r="B1013" s="66">
        <v>2022.0</v>
      </c>
      <c r="C1013" s="66">
        <v>3.0</v>
      </c>
      <c r="D1013" s="66" t="s">
        <v>205</v>
      </c>
      <c r="E1013" s="66">
        <v>0.0</v>
      </c>
      <c r="F1013" s="66">
        <v>0.0347</v>
      </c>
      <c r="G1013" s="66">
        <v>0.016</v>
      </c>
      <c r="I1013" s="81">
        <f t="shared" si="1"/>
        <v>1.16875</v>
      </c>
      <c r="J1013" s="81">
        <f t="shared" si="2"/>
        <v>0.4610951009</v>
      </c>
    </row>
    <row r="1014">
      <c r="A1014" s="82">
        <v>44704.0</v>
      </c>
      <c r="B1014" s="66">
        <v>2022.0</v>
      </c>
      <c r="C1014" s="66">
        <v>3.0</v>
      </c>
      <c r="D1014" s="66" t="s">
        <v>205</v>
      </c>
      <c r="E1014" s="66">
        <v>1.0</v>
      </c>
      <c r="F1014" s="66">
        <v>0.0629</v>
      </c>
      <c r="G1014" s="66">
        <v>0.029</v>
      </c>
      <c r="H1014" s="66" t="s">
        <v>227</v>
      </c>
      <c r="I1014" s="81">
        <f t="shared" si="1"/>
        <v>1.168965517</v>
      </c>
      <c r="J1014" s="81">
        <f t="shared" si="2"/>
        <v>0.4610492846</v>
      </c>
    </row>
    <row r="1015">
      <c r="A1015" s="82">
        <v>44704.0</v>
      </c>
      <c r="B1015" s="66">
        <v>2022.0</v>
      </c>
      <c r="C1015" s="66">
        <v>3.0</v>
      </c>
      <c r="D1015" s="66" t="s">
        <v>204</v>
      </c>
      <c r="E1015" s="66">
        <v>0.0</v>
      </c>
      <c r="F1015" s="66">
        <v>0.2449</v>
      </c>
      <c r="G1015" s="66">
        <v>0.1129</v>
      </c>
      <c r="I1015" s="81">
        <f t="shared" si="1"/>
        <v>1.169176262</v>
      </c>
      <c r="J1015" s="81">
        <f t="shared" si="2"/>
        <v>0.4610044916</v>
      </c>
    </row>
    <row r="1016">
      <c r="A1016" s="82">
        <v>44704.0</v>
      </c>
      <c r="B1016" s="66">
        <v>2022.0</v>
      </c>
      <c r="C1016" s="66">
        <v>3.0</v>
      </c>
      <c r="D1016" s="66" t="s">
        <v>204</v>
      </c>
      <c r="E1016" s="66">
        <v>1.0</v>
      </c>
      <c r="F1016" s="66">
        <v>0.1137</v>
      </c>
      <c r="G1016" s="66">
        <v>0.0524</v>
      </c>
      <c r="I1016" s="81">
        <f t="shared" si="1"/>
        <v>1.169847328</v>
      </c>
      <c r="J1016" s="81">
        <f t="shared" si="2"/>
        <v>0.4608619173</v>
      </c>
    </row>
    <row r="1017">
      <c r="A1017" s="82">
        <v>44704.0</v>
      </c>
      <c r="B1017" s="66">
        <v>2026.0</v>
      </c>
      <c r="C1017" s="66">
        <v>1.0</v>
      </c>
      <c r="D1017" s="66" t="s">
        <v>205</v>
      </c>
      <c r="E1017" s="66">
        <v>0.0</v>
      </c>
      <c r="F1017" s="66">
        <v>0.1172</v>
      </c>
      <c r="G1017" s="66">
        <v>0.054</v>
      </c>
      <c r="H1017" s="66" t="s">
        <v>226</v>
      </c>
      <c r="I1017" s="81">
        <f t="shared" si="1"/>
        <v>1.17037037</v>
      </c>
      <c r="J1017" s="81">
        <f t="shared" si="2"/>
        <v>0.4607508532</v>
      </c>
    </row>
    <row r="1018">
      <c r="A1018" s="82">
        <v>44704.0</v>
      </c>
      <c r="B1018" s="66">
        <v>2026.0</v>
      </c>
      <c r="C1018" s="66">
        <v>1.0</v>
      </c>
      <c r="D1018" s="66" t="s">
        <v>204</v>
      </c>
      <c r="E1018" s="66">
        <v>0.0</v>
      </c>
      <c r="F1018" s="66">
        <v>0.358</v>
      </c>
      <c r="G1018" s="66">
        <v>0.1649</v>
      </c>
      <c r="H1018" s="66" t="s">
        <v>226</v>
      </c>
      <c r="I1018" s="81">
        <f t="shared" si="1"/>
        <v>1.171012735</v>
      </c>
      <c r="J1018" s="81">
        <f t="shared" si="2"/>
        <v>0.4606145251</v>
      </c>
    </row>
    <row r="1019">
      <c r="A1019" s="82">
        <v>44704.0</v>
      </c>
      <c r="B1019" s="66">
        <v>2026.0</v>
      </c>
      <c r="C1019" s="66">
        <v>1.0</v>
      </c>
      <c r="D1019" s="66" t="s">
        <v>204</v>
      </c>
      <c r="E1019" s="66">
        <v>1.0</v>
      </c>
      <c r="F1019" s="66">
        <v>0.8273</v>
      </c>
      <c r="G1019" s="66">
        <v>0.381</v>
      </c>
      <c r="H1019" s="66" t="s">
        <v>226</v>
      </c>
      <c r="I1019" s="81">
        <f t="shared" si="1"/>
        <v>1.171391076</v>
      </c>
      <c r="J1019" s="81">
        <f t="shared" si="2"/>
        <v>0.4605342681</v>
      </c>
    </row>
    <row r="1020">
      <c r="A1020" s="82">
        <v>44704.0</v>
      </c>
      <c r="B1020" s="66">
        <v>2026.0</v>
      </c>
      <c r="C1020" s="66">
        <v>2.0</v>
      </c>
      <c r="D1020" s="66" t="s">
        <v>205</v>
      </c>
      <c r="E1020" s="66">
        <v>0.0</v>
      </c>
      <c r="F1020" s="66">
        <v>0.1705</v>
      </c>
      <c r="G1020" s="66">
        <v>0.0785</v>
      </c>
      <c r="I1020" s="81">
        <f t="shared" si="1"/>
        <v>1.171974522</v>
      </c>
      <c r="J1020" s="81">
        <f t="shared" si="2"/>
        <v>0.4604105572</v>
      </c>
    </row>
    <row r="1021">
      <c r="A1021" s="82">
        <v>44704.0</v>
      </c>
      <c r="B1021" s="66">
        <v>2026.0</v>
      </c>
      <c r="C1021" s="66">
        <v>2.0</v>
      </c>
      <c r="D1021" s="66" t="s">
        <v>204</v>
      </c>
      <c r="E1021" s="66">
        <v>0.0</v>
      </c>
      <c r="F1021" s="66">
        <v>0.5863</v>
      </c>
      <c r="G1021" s="66">
        <v>0.2699</v>
      </c>
      <c r="I1021" s="81">
        <f t="shared" si="1"/>
        <v>1.172286032</v>
      </c>
      <c r="J1021" s="81">
        <f t="shared" si="2"/>
        <v>0.4603445335</v>
      </c>
    </row>
    <row r="1022">
      <c r="A1022" s="82">
        <v>44704.0</v>
      </c>
      <c r="B1022" s="66">
        <v>2026.0</v>
      </c>
      <c r="C1022" s="66">
        <v>2.0</v>
      </c>
      <c r="D1022" s="66" t="s">
        <v>204</v>
      </c>
      <c r="E1022" s="66">
        <v>1.0</v>
      </c>
      <c r="F1022" s="66">
        <v>0.0693</v>
      </c>
      <c r="G1022" s="66">
        <v>0.0319</v>
      </c>
      <c r="I1022" s="81">
        <f t="shared" si="1"/>
        <v>1.172413793</v>
      </c>
      <c r="J1022" s="81">
        <f t="shared" si="2"/>
        <v>0.4603174603</v>
      </c>
    </row>
    <row r="1023">
      <c r="A1023" s="82">
        <v>44704.0</v>
      </c>
      <c r="B1023" s="66">
        <v>2026.0</v>
      </c>
      <c r="C1023" s="66">
        <v>3.0</v>
      </c>
      <c r="D1023" s="66" t="s">
        <v>205</v>
      </c>
      <c r="E1023" s="66">
        <v>0.0</v>
      </c>
      <c r="F1023" s="66">
        <v>0.6085</v>
      </c>
      <c r="G1023" s="66">
        <v>0.28</v>
      </c>
      <c r="H1023" s="66" t="s">
        <v>226</v>
      </c>
      <c r="I1023" s="81">
        <f t="shared" si="1"/>
        <v>1.173214286</v>
      </c>
      <c r="J1023" s="81">
        <f t="shared" si="2"/>
        <v>0.4601479047</v>
      </c>
    </row>
    <row r="1024">
      <c r="A1024" s="82">
        <v>44704.0</v>
      </c>
      <c r="B1024" s="66">
        <v>2026.0</v>
      </c>
      <c r="C1024" s="66">
        <v>3.0</v>
      </c>
      <c r="D1024" s="66" t="s">
        <v>204</v>
      </c>
      <c r="E1024" s="66">
        <v>0.0</v>
      </c>
      <c r="F1024" s="66">
        <v>0.2765</v>
      </c>
      <c r="G1024" s="66">
        <v>0.1272</v>
      </c>
      <c r="I1024" s="81">
        <f t="shared" si="1"/>
        <v>1.173742138</v>
      </c>
      <c r="J1024" s="81">
        <f t="shared" si="2"/>
        <v>0.4600361664</v>
      </c>
    </row>
    <row r="1025">
      <c r="A1025" s="82">
        <v>44704.0</v>
      </c>
      <c r="B1025" s="66">
        <v>2026.0</v>
      </c>
      <c r="C1025" s="66">
        <v>3.0</v>
      </c>
      <c r="D1025" s="66" t="s">
        <v>204</v>
      </c>
      <c r="E1025" s="66">
        <v>1.0</v>
      </c>
      <c r="F1025" s="66">
        <v>0.1935</v>
      </c>
      <c r="G1025" s="66">
        <v>0.0889</v>
      </c>
      <c r="I1025" s="81">
        <f t="shared" si="1"/>
        <v>1.176602925</v>
      </c>
      <c r="J1025" s="81">
        <f t="shared" si="2"/>
        <v>0.4594315245</v>
      </c>
    </row>
    <row r="1026">
      <c r="A1026" s="82">
        <v>44704.0</v>
      </c>
      <c r="B1026" s="66">
        <v>2027.0</v>
      </c>
      <c r="C1026" s="66">
        <v>1.0</v>
      </c>
      <c r="D1026" s="66" t="s">
        <v>205</v>
      </c>
      <c r="E1026" s="66">
        <v>0.0</v>
      </c>
      <c r="F1026" s="66">
        <v>0.0616</v>
      </c>
      <c r="G1026" s="66">
        <v>0.0283</v>
      </c>
      <c r="I1026" s="81">
        <f t="shared" si="1"/>
        <v>1.176678445</v>
      </c>
      <c r="J1026" s="81">
        <f t="shared" si="2"/>
        <v>0.4594155844</v>
      </c>
    </row>
    <row r="1027">
      <c r="A1027" s="82">
        <v>44704.0</v>
      </c>
      <c r="B1027" s="66">
        <v>2027.0</v>
      </c>
      <c r="C1027" s="66">
        <v>1.0</v>
      </c>
      <c r="D1027" s="66" t="s">
        <v>204</v>
      </c>
      <c r="E1027" s="66">
        <v>0.0</v>
      </c>
      <c r="F1027" s="66">
        <v>2.092</v>
      </c>
      <c r="G1027" s="66">
        <v>0.9603</v>
      </c>
      <c r="I1027" s="81">
        <f t="shared" si="1"/>
        <v>1.17848589</v>
      </c>
      <c r="J1027" s="81">
        <f t="shared" si="2"/>
        <v>0.4590344168</v>
      </c>
    </row>
    <row r="1028">
      <c r="A1028" s="82">
        <v>44704.0</v>
      </c>
      <c r="B1028" s="66">
        <v>2027.0</v>
      </c>
      <c r="C1028" s="66">
        <v>1.0</v>
      </c>
      <c r="D1028" s="66" t="s">
        <v>204</v>
      </c>
      <c r="E1028" s="66">
        <v>1.0</v>
      </c>
      <c r="F1028" s="66">
        <v>0.913</v>
      </c>
      <c r="G1028" s="66">
        <v>0.419</v>
      </c>
      <c r="H1028" s="66" t="s">
        <v>229</v>
      </c>
      <c r="I1028" s="81">
        <f t="shared" si="1"/>
        <v>1.178997613</v>
      </c>
      <c r="J1028" s="81">
        <f t="shared" si="2"/>
        <v>0.4589266156</v>
      </c>
    </row>
    <row r="1029">
      <c r="A1029" s="82">
        <v>44704.0</v>
      </c>
      <c r="B1029" s="66">
        <v>2027.0</v>
      </c>
      <c r="C1029" s="66">
        <v>2.0</v>
      </c>
      <c r="D1029" s="66" t="s">
        <v>205</v>
      </c>
      <c r="E1029" s="66">
        <v>0.0</v>
      </c>
      <c r="F1029" s="66">
        <v>0.0604</v>
      </c>
      <c r="G1029" s="66">
        <v>0.0277</v>
      </c>
      <c r="H1029" s="66" t="s">
        <v>226</v>
      </c>
      <c r="I1029" s="81">
        <f t="shared" si="1"/>
        <v>1.180505415</v>
      </c>
      <c r="J1029" s="81">
        <f t="shared" si="2"/>
        <v>0.4586092715</v>
      </c>
    </row>
    <row r="1030">
      <c r="A1030" s="82">
        <v>44704.0</v>
      </c>
      <c r="B1030" s="66">
        <v>2027.0</v>
      </c>
      <c r="C1030" s="66">
        <v>2.0</v>
      </c>
      <c r="D1030" s="66" t="s">
        <v>204</v>
      </c>
      <c r="E1030" s="66">
        <v>0.0</v>
      </c>
      <c r="F1030" s="66">
        <v>0.0567</v>
      </c>
      <c r="G1030" s="66">
        <v>0.026</v>
      </c>
      <c r="H1030" s="66" t="s">
        <v>227</v>
      </c>
      <c r="I1030" s="81">
        <f t="shared" si="1"/>
        <v>1.180769231</v>
      </c>
      <c r="J1030" s="81">
        <f t="shared" si="2"/>
        <v>0.4585537919</v>
      </c>
    </row>
    <row r="1031">
      <c r="A1031" s="82">
        <v>44704.0</v>
      </c>
      <c r="B1031" s="66">
        <v>2027.0</v>
      </c>
      <c r="C1031" s="66">
        <v>2.0</v>
      </c>
      <c r="D1031" s="66" t="s">
        <v>204</v>
      </c>
      <c r="E1031" s="66">
        <v>1.0</v>
      </c>
      <c r="F1031" s="66">
        <v>0.0458</v>
      </c>
      <c r="G1031" s="66">
        <v>0.021</v>
      </c>
      <c r="I1031" s="81">
        <f t="shared" si="1"/>
        <v>1.180952381</v>
      </c>
      <c r="J1031" s="81">
        <f t="shared" si="2"/>
        <v>0.4585152838</v>
      </c>
    </row>
    <row r="1032">
      <c r="A1032" s="82">
        <v>44704.0</v>
      </c>
      <c r="B1032" s="66">
        <v>2027.0</v>
      </c>
      <c r="C1032" s="66">
        <v>3.0</v>
      </c>
      <c r="D1032" s="66" t="s">
        <v>205</v>
      </c>
      <c r="E1032" s="66">
        <v>0.0</v>
      </c>
      <c r="F1032" s="66">
        <v>0.6481</v>
      </c>
      <c r="G1032" s="66">
        <v>0.2966</v>
      </c>
      <c r="H1032" s="66" t="s">
        <v>226</v>
      </c>
      <c r="I1032" s="81">
        <f t="shared" si="1"/>
        <v>1.185097775</v>
      </c>
      <c r="J1032" s="81">
        <f t="shared" si="2"/>
        <v>0.4576454251</v>
      </c>
    </row>
    <row r="1033">
      <c r="A1033" s="82">
        <v>44704.0</v>
      </c>
      <c r="B1033" s="66">
        <v>2027.0</v>
      </c>
      <c r="C1033" s="66">
        <v>3.0</v>
      </c>
      <c r="D1033" s="66" t="s">
        <v>204</v>
      </c>
      <c r="E1033" s="66">
        <v>0.0</v>
      </c>
      <c r="F1033" s="66">
        <v>0.7909</v>
      </c>
      <c r="G1033" s="66">
        <v>0.3619</v>
      </c>
      <c r="I1033" s="81">
        <f t="shared" si="1"/>
        <v>1.185410334</v>
      </c>
      <c r="J1033" s="81">
        <f t="shared" si="2"/>
        <v>0.4575799722</v>
      </c>
    </row>
    <row r="1034">
      <c r="A1034" s="82">
        <v>44704.0</v>
      </c>
      <c r="B1034" s="66">
        <v>2027.0</v>
      </c>
      <c r="C1034" s="66">
        <v>3.0</v>
      </c>
      <c r="D1034" s="66" t="s">
        <v>204</v>
      </c>
      <c r="E1034" s="66">
        <v>1.0</v>
      </c>
      <c r="F1034" s="66">
        <v>0.8096</v>
      </c>
      <c r="G1034" s="66">
        <v>0.3704</v>
      </c>
      <c r="H1034" s="66" t="s">
        <v>226</v>
      </c>
      <c r="I1034" s="81">
        <f t="shared" si="1"/>
        <v>1.18574514</v>
      </c>
      <c r="J1034" s="81">
        <f t="shared" si="2"/>
        <v>0.4575098814</v>
      </c>
    </row>
    <row r="1035">
      <c r="A1035" s="82">
        <v>44704.0</v>
      </c>
      <c r="B1035" s="66">
        <v>2027.0</v>
      </c>
      <c r="C1035" s="66">
        <v>3.0</v>
      </c>
      <c r="D1035" s="66" t="s">
        <v>204</v>
      </c>
      <c r="E1035" s="66">
        <v>1.0</v>
      </c>
      <c r="F1035" s="66">
        <v>0.675</v>
      </c>
      <c r="G1035" s="66">
        <v>0.3088</v>
      </c>
      <c r="I1035" s="81">
        <f t="shared" si="1"/>
        <v>1.185880829</v>
      </c>
      <c r="J1035" s="81">
        <f t="shared" si="2"/>
        <v>0.4574814815</v>
      </c>
    </row>
    <row r="1036">
      <c r="A1036" s="82">
        <v>44704.0</v>
      </c>
      <c r="B1036" s="66">
        <v>2028.0</v>
      </c>
      <c r="C1036" s="66">
        <v>1.0</v>
      </c>
      <c r="D1036" s="66" t="s">
        <v>205</v>
      </c>
      <c r="E1036" s="66">
        <v>0.0</v>
      </c>
      <c r="F1036" s="84">
        <v>0.181</v>
      </c>
      <c r="G1036" s="66">
        <v>0.0828</v>
      </c>
      <c r="I1036" s="81">
        <f t="shared" si="1"/>
        <v>1.185990338</v>
      </c>
      <c r="J1036" s="81">
        <f t="shared" si="2"/>
        <v>0.4574585635</v>
      </c>
    </row>
    <row r="1037">
      <c r="A1037" s="82">
        <v>44704.0</v>
      </c>
      <c r="B1037" s="66">
        <v>2028.0</v>
      </c>
      <c r="C1037" s="66">
        <v>1.0</v>
      </c>
      <c r="D1037" s="66" t="s">
        <v>204</v>
      </c>
      <c r="E1037" s="66">
        <v>0.0</v>
      </c>
      <c r="F1037" s="66">
        <v>0.561</v>
      </c>
      <c r="G1037" s="66">
        <v>0.2565</v>
      </c>
      <c r="I1037" s="81">
        <f t="shared" si="1"/>
        <v>1.187134503</v>
      </c>
      <c r="J1037" s="81">
        <f t="shared" si="2"/>
        <v>0.4572192513</v>
      </c>
    </row>
    <row r="1038">
      <c r="A1038" s="82">
        <v>44704.0</v>
      </c>
      <c r="B1038" s="66">
        <v>2028.0</v>
      </c>
      <c r="C1038" s="66">
        <v>1.0</v>
      </c>
      <c r="D1038" s="66" t="s">
        <v>204</v>
      </c>
      <c r="E1038" s="66">
        <v>1.0</v>
      </c>
      <c r="F1038" s="66">
        <v>0.3456</v>
      </c>
      <c r="G1038" s="66">
        <v>0.158</v>
      </c>
      <c r="H1038" s="66" t="s">
        <v>227</v>
      </c>
      <c r="I1038" s="81">
        <f t="shared" si="1"/>
        <v>1.187341772</v>
      </c>
      <c r="J1038" s="81">
        <f t="shared" si="2"/>
        <v>0.4571759259</v>
      </c>
    </row>
    <row r="1039">
      <c r="A1039" s="82">
        <v>44704.0</v>
      </c>
      <c r="B1039" s="66">
        <v>2028.0</v>
      </c>
      <c r="C1039" s="66">
        <v>2.0</v>
      </c>
      <c r="D1039" s="66" t="s">
        <v>205</v>
      </c>
      <c r="E1039" s="66">
        <v>0.0</v>
      </c>
      <c r="F1039" s="66">
        <v>0.6324</v>
      </c>
      <c r="G1039" s="66">
        <v>0.289</v>
      </c>
      <c r="I1039" s="81">
        <f t="shared" si="1"/>
        <v>1.188235294</v>
      </c>
      <c r="J1039" s="81">
        <f t="shared" si="2"/>
        <v>0.4569892473</v>
      </c>
    </row>
    <row r="1040">
      <c r="A1040" s="82">
        <v>44704.0</v>
      </c>
      <c r="B1040" s="66">
        <v>2028.0</v>
      </c>
      <c r="C1040" s="66">
        <v>2.0</v>
      </c>
      <c r="D1040" s="66" t="s">
        <v>204</v>
      </c>
      <c r="E1040" s="66">
        <v>0.0</v>
      </c>
      <c r="F1040" s="66">
        <v>0.0613</v>
      </c>
      <c r="G1040" s="66">
        <v>0.028</v>
      </c>
      <c r="I1040" s="81">
        <f t="shared" si="1"/>
        <v>1.189285714</v>
      </c>
      <c r="J1040" s="81">
        <f t="shared" si="2"/>
        <v>0.4567699837</v>
      </c>
    </row>
    <row r="1041">
      <c r="A1041" s="82">
        <v>44704.0</v>
      </c>
      <c r="B1041" s="66">
        <v>2028.0</v>
      </c>
      <c r="C1041" s="66">
        <v>2.0</v>
      </c>
      <c r="D1041" s="66" t="s">
        <v>204</v>
      </c>
      <c r="E1041" s="66">
        <v>1.0</v>
      </c>
      <c r="F1041" s="66">
        <v>0.3614</v>
      </c>
      <c r="G1041" s="66">
        <v>0.165</v>
      </c>
      <c r="H1041" s="66" t="s">
        <v>227</v>
      </c>
      <c r="I1041" s="81">
        <f t="shared" si="1"/>
        <v>1.19030303</v>
      </c>
      <c r="J1041" s="81">
        <f t="shared" si="2"/>
        <v>0.4565578307</v>
      </c>
    </row>
    <row r="1042">
      <c r="A1042" s="82">
        <v>44704.0</v>
      </c>
      <c r="B1042" s="66">
        <v>2028.0</v>
      </c>
      <c r="C1042" s="66">
        <v>3.0</v>
      </c>
      <c r="D1042" s="66" t="s">
        <v>205</v>
      </c>
      <c r="E1042" s="66">
        <v>0.0</v>
      </c>
      <c r="F1042" s="66">
        <v>0.046</v>
      </c>
      <c r="G1042" s="66">
        <v>0.021</v>
      </c>
      <c r="I1042" s="81">
        <f t="shared" si="1"/>
        <v>1.19047619</v>
      </c>
      <c r="J1042" s="81">
        <f t="shared" si="2"/>
        <v>0.4565217391</v>
      </c>
    </row>
    <row r="1043">
      <c r="A1043" s="82">
        <v>44704.0</v>
      </c>
      <c r="B1043" s="66">
        <v>2028.0</v>
      </c>
      <c r="C1043" s="66">
        <v>3.0</v>
      </c>
      <c r="D1043" s="66" t="s">
        <v>204</v>
      </c>
      <c r="E1043" s="66">
        <v>0.0</v>
      </c>
      <c r="F1043" s="66">
        <v>2.182</v>
      </c>
      <c r="G1043" s="66">
        <v>0.996</v>
      </c>
      <c r="H1043" s="66" t="s">
        <v>228</v>
      </c>
      <c r="I1043" s="81">
        <f t="shared" si="1"/>
        <v>1.190763052</v>
      </c>
      <c r="J1043" s="81">
        <f t="shared" si="2"/>
        <v>0.4564619615</v>
      </c>
    </row>
    <row r="1044">
      <c r="A1044" s="82">
        <v>44704.0</v>
      </c>
      <c r="B1044" s="66">
        <v>2028.0</v>
      </c>
      <c r="C1044" s="66">
        <v>3.0</v>
      </c>
      <c r="D1044" s="66" t="s">
        <v>204</v>
      </c>
      <c r="E1044" s="66">
        <v>1.0</v>
      </c>
      <c r="F1044" s="66">
        <v>0.3755</v>
      </c>
      <c r="G1044" s="66">
        <v>0.1714</v>
      </c>
      <c r="I1044" s="81">
        <f t="shared" si="1"/>
        <v>1.190781797</v>
      </c>
      <c r="J1044" s="81">
        <f t="shared" si="2"/>
        <v>0.4564580559</v>
      </c>
    </row>
    <row r="1045">
      <c r="A1045" s="82">
        <v>44704.0</v>
      </c>
      <c r="B1045" s="66">
        <v>2029.0</v>
      </c>
      <c r="C1045" s="66">
        <v>1.0</v>
      </c>
      <c r="D1045" s="66" t="s">
        <v>205</v>
      </c>
      <c r="E1045" s="66">
        <v>0.0</v>
      </c>
      <c r="F1045" s="66">
        <v>0.1527</v>
      </c>
      <c r="G1045" s="66">
        <v>0.0697</v>
      </c>
      <c r="H1045" s="66" t="s">
        <v>226</v>
      </c>
      <c r="I1045" s="81">
        <f t="shared" si="1"/>
        <v>1.190817791</v>
      </c>
      <c r="J1045" s="81">
        <f t="shared" si="2"/>
        <v>0.4564505566</v>
      </c>
    </row>
    <row r="1046">
      <c r="A1046" s="82">
        <v>44704.0</v>
      </c>
      <c r="B1046" s="66">
        <v>2029.0</v>
      </c>
      <c r="C1046" s="66">
        <v>1.0</v>
      </c>
      <c r="D1046" s="66" t="s">
        <v>205</v>
      </c>
      <c r="E1046" s="66">
        <v>1.0</v>
      </c>
      <c r="F1046" s="66">
        <v>0.6205</v>
      </c>
      <c r="G1046" s="66">
        <v>0.283</v>
      </c>
      <c r="H1046" s="66" t="s">
        <v>226</v>
      </c>
      <c r="I1046" s="81">
        <f t="shared" si="1"/>
        <v>1.192579505</v>
      </c>
      <c r="J1046" s="81">
        <f t="shared" si="2"/>
        <v>0.4560838034</v>
      </c>
    </row>
    <row r="1047">
      <c r="A1047" s="82">
        <v>44704.0</v>
      </c>
      <c r="B1047" s="66">
        <v>2029.0</v>
      </c>
      <c r="C1047" s="66">
        <v>1.0</v>
      </c>
      <c r="D1047" s="66" t="s">
        <v>204</v>
      </c>
      <c r="E1047" s="66">
        <v>0.0</v>
      </c>
      <c r="F1047" s="66">
        <v>0.1272</v>
      </c>
      <c r="G1047" s="66">
        <v>0.058</v>
      </c>
      <c r="H1047" s="66" t="s">
        <v>227</v>
      </c>
      <c r="I1047" s="81">
        <f t="shared" si="1"/>
        <v>1.193103448</v>
      </c>
      <c r="J1047" s="81">
        <f t="shared" si="2"/>
        <v>0.4559748428</v>
      </c>
    </row>
    <row r="1048">
      <c r="A1048" s="82">
        <v>44704.0</v>
      </c>
      <c r="B1048" s="66">
        <v>2029.0</v>
      </c>
      <c r="C1048" s="66">
        <v>1.0</v>
      </c>
      <c r="D1048" s="66" t="s">
        <v>204</v>
      </c>
      <c r="E1048" s="66">
        <v>1.0</v>
      </c>
      <c r="F1048" s="66">
        <v>0.1645</v>
      </c>
      <c r="G1048" s="66">
        <v>0.075</v>
      </c>
      <c r="H1048" s="66" t="s">
        <v>226</v>
      </c>
      <c r="I1048" s="81">
        <f t="shared" si="1"/>
        <v>1.193333333</v>
      </c>
      <c r="J1048" s="81">
        <f t="shared" si="2"/>
        <v>0.4559270517</v>
      </c>
    </row>
    <row r="1049">
      <c r="A1049" s="82">
        <v>44704.0</v>
      </c>
      <c r="B1049" s="66">
        <v>2029.0</v>
      </c>
      <c r="C1049" s="66">
        <v>2.0</v>
      </c>
      <c r="D1049" s="66" t="s">
        <v>205</v>
      </c>
      <c r="E1049" s="66">
        <v>0.0</v>
      </c>
      <c r="F1049" s="66">
        <v>0.0555</v>
      </c>
      <c r="G1049" s="66">
        <v>0.0253</v>
      </c>
      <c r="H1049" s="66" t="s">
        <v>226</v>
      </c>
      <c r="I1049" s="81">
        <f t="shared" si="1"/>
        <v>1.193675889</v>
      </c>
      <c r="J1049" s="81">
        <f t="shared" si="2"/>
        <v>0.4558558559</v>
      </c>
    </row>
    <row r="1050">
      <c r="A1050" s="82">
        <v>44704.0</v>
      </c>
      <c r="B1050" s="66">
        <v>2029.0</v>
      </c>
      <c r="C1050" s="66">
        <v>2.0</v>
      </c>
      <c r="D1050" s="66" t="s">
        <v>205</v>
      </c>
      <c r="E1050" s="66">
        <v>1.0</v>
      </c>
      <c r="F1050" s="66">
        <v>0.2936</v>
      </c>
      <c r="G1050" s="66">
        <v>0.1338</v>
      </c>
      <c r="H1050" s="66" t="s">
        <v>226</v>
      </c>
      <c r="I1050" s="81">
        <f t="shared" si="1"/>
        <v>1.19431988</v>
      </c>
      <c r="J1050" s="81">
        <f t="shared" si="2"/>
        <v>0.4557220708</v>
      </c>
    </row>
    <row r="1051">
      <c r="A1051" s="82">
        <v>44704.0</v>
      </c>
      <c r="B1051" s="66">
        <v>2029.0</v>
      </c>
      <c r="C1051" s="66">
        <v>2.0</v>
      </c>
      <c r="D1051" s="66" t="s">
        <v>204</v>
      </c>
      <c r="E1051" s="66">
        <v>0.0</v>
      </c>
      <c r="F1051" s="66">
        <v>0.9152</v>
      </c>
      <c r="G1051" s="66">
        <v>0.417</v>
      </c>
      <c r="H1051" s="66" t="s">
        <v>226</v>
      </c>
      <c r="I1051" s="81">
        <f t="shared" si="1"/>
        <v>1.194724221</v>
      </c>
      <c r="J1051" s="81">
        <f t="shared" si="2"/>
        <v>0.4556381119</v>
      </c>
    </row>
    <row r="1052">
      <c r="A1052" s="82">
        <v>44704.0</v>
      </c>
      <c r="B1052" s="66">
        <v>2029.0</v>
      </c>
      <c r="C1052" s="66">
        <v>2.0</v>
      </c>
      <c r="D1052" s="66" t="s">
        <v>204</v>
      </c>
      <c r="E1052" s="66">
        <v>1.0</v>
      </c>
      <c r="F1052" s="66">
        <v>0.0834</v>
      </c>
      <c r="G1052" s="66">
        <v>0.038</v>
      </c>
      <c r="H1052" s="66" t="s">
        <v>226</v>
      </c>
      <c r="I1052" s="81">
        <f t="shared" si="1"/>
        <v>1.194736842</v>
      </c>
      <c r="J1052" s="81">
        <f t="shared" si="2"/>
        <v>0.4556354916</v>
      </c>
    </row>
    <row r="1053">
      <c r="A1053" s="82">
        <v>44704.0</v>
      </c>
      <c r="B1053" s="66">
        <v>2029.0</v>
      </c>
      <c r="C1053" s="66">
        <v>3.0</v>
      </c>
      <c r="D1053" s="66" t="s">
        <v>205</v>
      </c>
      <c r="E1053" s="66">
        <v>0.0</v>
      </c>
      <c r="F1053" s="66">
        <v>0.5845</v>
      </c>
      <c r="G1053" s="66">
        <v>0.2662</v>
      </c>
      <c r="H1053" s="66" t="s">
        <v>226</v>
      </c>
      <c r="I1053" s="81">
        <f t="shared" si="1"/>
        <v>1.195717506</v>
      </c>
      <c r="J1053" s="81">
        <f t="shared" si="2"/>
        <v>0.4554319932</v>
      </c>
    </row>
    <row r="1054">
      <c r="A1054" s="82">
        <v>44704.0</v>
      </c>
      <c r="B1054" s="66">
        <v>2029.0</v>
      </c>
      <c r="C1054" s="66">
        <v>3.0</v>
      </c>
      <c r="D1054" s="66" t="s">
        <v>205</v>
      </c>
      <c r="E1054" s="66">
        <v>1.0</v>
      </c>
      <c r="F1054" s="66">
        <v>0.0868</v>
      </c>
      <c r="G1054" s="66">
        <v>0.0395</v>
      </c>
      <c r="H1054" s="66" t="s">
        <v>230</v>
      </c>
      <c r="I1054" s="81">
        <f t="shared" si="1"/>
        <v>1.197468354</v>
      </c>
      <c r="J1054" s="81">
        <f t="shared" si="2"/>
        <v>0.4550691244</v>
      </c>
    </row>
    <row r="1055">
      <c r="A1055" s="82">
        <v>44704.0</v>
      </c>
      <c r="B1055" s="66">
        <v>2029.0</v>
      </c>
      <c r="C1055" s="66">
        <v>3.0</v>
      </c>
      <c r="D1055" s="66" t="s">
        <v>204</v>
      </c>
      <c r="E1055" s="66">
        <v>0.0</v>
      </c>
      <c r="F1055" s="66">
        <v>0.1319</v>
      </c>
      <c r="G1055" s="66">
        <v>0.06</v>
      </c>
      <c r="H1055" s="66" t="s">
        <v>227</v>
      </c>
      <c r="I1055" s="81">
        <f t="shared" si="1"/>
        <v>1.198333333</v>
      </c>
      <c r="J1055" s="81">
        <f t="shared" si="2"/>
        <v>0.4548900682</v>
      </c>
    </row>
    <row r="1056">
      <c r="A1056" s="82">
        <v>44704.0</v>
      </c>
      <c r="B1056" s="66">
        <v>2029.0</v>
      </c>
      <c r="C1056" s="66">
        <v>3.0</v>
      </c>
      <c r="D1056" s="66" t="s">
        <v>204</v>
      </c>
      <c r="E1056" s="66">
        <v>1.0</v>
      </c>
      <c r="F1056" s="66">
        <v>0.206</v>
      </c>
      <c r="G1056" s="66">
        <v>0.0937</v>
      </c>
      <c r="I1056" s="81">
        <f t="shared" si="1"/>
        <v>1.19850587</v>
      </c>
      <c r="J1056" s="81">
        <f t="shared" si="2"/>
        <v>0.4548543689</v>
      </c>
    </row>
    <row r="1057">
      <c r="A1057" s="82">
        <v>44704.0</v>
      </c>
      <c r="B1057" s="66">
        <v>2030.0</v>
      </c>
      <c r="C1057" s="66">
        <v>1.0</v>
      </c>
      <c r="D1057" s="66" t="s">
        <v>205</v>
      </c>
      <c r="E1057" s="66">
        <v>0.0</v>
      </c>
      <c r="F1057" s="66">
        <v>0.1511</v>
      </c>
      <c r="G1057" s="66">
        <v>0.0687</v>
      </c>
      <c r="H1057" s="66" t="s">
        <v>230</v>
      </c>
      <c r="I1057" s="81">
        <f t="shared" si="1"/>
        <v>1.199417758</v>
      </c>
      <c r="J1057" s="81">
        <f t="shared" si="2"/>
        <v>0.4546657842</v>
      </c>
    </row>
    <row r="1058">
      <c r="A1058" s="82">
        <v>44704.0</v>
      </c>
      <c r="B1058" s="66">
        <v>2030.0</v>
      </c>
      <c r="C1058" s="66">
        <v>1.0</v>
      </c>
      <c r="D1058" s="66" t="s">
        <v>204</v>
      </c>
      <c r="E1058" s="66">
        <v>0.0</v>
      </c>
      <c r="F1058" s="66">
        <v>0.0726</v>
      </c>
      <c r="G1058" s="66">
        <v>0.033</v>
      </c>
      <c r="H1058" s="66" t="s">
        <v>226</v>
      </c>
      <c r="I1058" s="81">
        <f t="shared" si="1"/>
        <v>1.2</v>
      </c>
      <c r="J1058" s="81">
        <f t="shared" si="2"/>
        <v>0.4545454545</v>
      </c>
    </row>
    <row r="1059">
      <c r="A1059" s="82">
        <v>44704.0</v>
      </c>
      <c r="B1059" s="66">
        <v>2030.0</v>
      </c>
      <c r="C1059" s="66">
        <v>2.0</v>
      </c>
      <c r="D1059" s="66" t="s">
        <v>205</v>
      </c>
      <c r="E1059" s="66">
        <v>0.0</v>
      </c>
      <c r="F1059" s="66">
        <v>0.2376</v>
      </c>
      <c r="G1059" s="66">
        <v>0.108</v>
      </c>
      <c r="H1059" s="66" t="s">
        <v>226</v>
      </c>
      <c r="I1059" s="81">
        <f t="shared" si="1"/>
        <v>1.2</v>
      </c>
      <c r="J1059" s="81">
        <f t="shared" si="2"/>
        <v>0.4545454545</v>
      </c>
    </row>
    <row r="1060">
      <c r="A1060" s="82">
        <v>44704.0</v>
      </c>
      <c r="B1060" s="66">
        <v>2030.0</v>
      </c>
      <c r="C1060" s="66">
        <v>2.0</v>
      </c>
      <c r="D1060" s="66" t="s">
        <v>204</v>
      </c>
      <c r="E1060" s="66">
        <v>0.0</v>
      </c>
      <c r="F1060" s="66">
        <v>0.3905</v>
      </c>
      <c r="G1060" s="66">
        <v>0.1775</v>
      </c>
      <c r="I1060" s="81">
        <f t="shared" si="1"/>
        <v>1.2</v>
      </c>
      <c r="J1060" s="81">
        <f t="shared" si="2"/>
        <v>0.4545454545</v>
      </c>
    </row>
    <row r="1061">
      <c r="A1061" s="82">
        <v>44704.0</v>
      </c>
      <c r="B1061" s="66">
        <v>2030.0</v>
      </c>
      <c r="C1061" s="66">
        <v>3.0</v>
      </c>
      <c r="D1061" s="66" t="s">
        <v>205</v>
      </c>
      <c r="E1061" s="66">
        <v>0.0</v>
      </c>
      <c r="F1061" s="66">
        <v>0.4867</v>
      </c>
      <c r="G1061" s="66">
        <v>0.2212</v>
      </c>
      <c r="H1061" s="66" t="s">
        <v>226</v>
      </c>
      <c r="I1061" s="81">
        <f t="shared" si="1"/>
        <v>1.200271248</v>
      </c>
      <c r="J1061" s="81">
        <f t="shared" si="2"/>
        <v>0.4544894185</v>
      </c>
    </row>
    <row r="1062">
      <c r="A1062" s="82">
        <v>44704.0</v>
      </c>
      <c r="B1062" s="66">
        <v>2030.0</v>
      </c>
      <c r="C1062" s="66">
        <v>3.0</v>
      </c>
      <c r="D1062" s="66" t="s">
        <v>205</v>
      </c>
      <c r="E1062" s="66">
        <v>1.0</v>
      </c>
      <c r="F1062" s="66">
        <v>0.5239</v>
      </c>
      <c r="G1062" s="66">
        <v>0.238</v>
      </c>
      <c r="H1062" s="66" t="s">
        <v>227</v>
      </c>
      <c r="I1062" s="81">
        <f t="shared" si="1"/>
        <v>1.201260504</v>
      </c>
      <c r="J1062" s="81">
        <f t="shared" si="2"/>
        <v>0.4542851689</v>
      </c>
    </row>
    <row r="1063">
      <c r="A1063" s="82">
        <v>44704.0</v>
      </c>
      <c r="B1063" s="66">
        <v>2030.0</v>
      </c>
      <c r="C1063" s="66">
        <v>3.0</v>
      </c>
      <c r="D1063" s="66" t="s">
        <v>204</v>
      </c>
      <c r="E1063" s="66">
        <v>0.0</v>
      </c>
      <c r="F1063" s="66">
        <v>1.1821</v>
      </c>
      <c r="G1063" s="66">
        <v>0.5367</v>
      </c>
      <c r="I1063" s="81">
        <f t="shared" si="1"/>
        <v>1.202534004</v>
      </c>
      <c r="J1063" s="81">
        <f t="shared" si="2"/>
        <v>0.4540225023</v>
      </c>
    </row>
    <row r="1064">
      <c r="A1064" s="82">
        <v>44704.0</v>
      </c>
      <c r="B1064" s="66">
        <v>2030.0</v>
      </c>
      <c r="C1064" s="66">
        <v>3.0</v>
      </c>
      <c r="D1064" s="66" t="s">
        <v>204</v>
      </c>
      <c r="E1064" s="66">
        <v>1.0</v>
      </c>
      <c r="F1064" s="66">
        <v>0.1861</v>
      </c>
      <c r="G1064" s="66">
        <v>0.0844</v>
      </c>
      <c r="I1064" s="81">
        <f t="shared" si="1"/>
        <v>1.204976303</v>
      </c>
      <c r="J1064" s="81">
        <f t="shared" si="2"/>
        <v>0.4535196131</v>
      </c>
    </row>
    <row r="1065">
      <c r="A1065" s="82">
        <v>44704.0</v>
      </c>
      <c r="B1065" s="66">
        <v>2031.0</v>
      </c>
      <c r="C1065" s="66">
        <v>1.0</v>
      </c>
      <c r="D1065" s="66" t="s">
        <v>205</v>
      </c>
      <c r="E1065" s="66">
        <v>0.0</v>
      </c>
      <c r="F1065" s="66">
        <v>0.0781</v>
      </c>
      <c r="G1065" s="66">
        <v>0.0354</v>
      </c>
      <c r="I1065" s="81">
        <f t="shared" si="1"/>
        <v>1.206214689</v>
      </c>
      <c r="J1065" s="81">
        <f t="shared" si="2"/>
        <v>0.4532650448</v>
      </c>
    </row>
    <row r="1066">
      <c r="A1066" s="82">
        <v>44704.0</v>
      </c>
      <c r="B1066" s="66">
        <v>2031.0</v>
      </c>
      <c r="C1066" s="66">
        <v>1.0</v>
      </c>
      <c r="D1066" s="66" t="s">
        <v>204</v>
      </c>
      <c r="E1066" s="66">
        <v>0.0</v>
      </c>
      <c r="F1066" s="66">
        <v>0.0353</v>
      </c>
      <c r="G1066" s="66">
        <v>0.016</v>
      </c>
      <c r="H1066" s="66" t="s">
        <v>227</v>
      </c>
      <c r="I1066" s="81">
        <f t="shared" si="1"/>
        <v>1.20625</v>
      </c>
      <c r="J1066" s="81">
        <f t="shared" si="2"/>
        <v>0.4532577904</v>
      </c>
    </row>
    <row r="1067">
      <c r="A1067" s="82">
        <v>44704.0</v>
      </c>
      <c r="B1067" s="66">
        <v>2031.0</v>
      </c>
      <c r="C1067" s="66">
        <v>1.0</v>
      </c>
      <c r="D1067" s="66" t="s">
        <v>204</v>
      </c>
      <c r="E1067" s="66">
        <v>1.0</v>
      </c>
      <c r="F1067" s="66">
        <v>0.5076</v>
      </c>
      <c r="G1067" s="66">
        <v>0.23</v>
      </c>
      <c r="H1067" s="66" t="s">
        <v>226</v>
      </c>
      <c r="I1067" s="81">
        <f t="shared" si="1"/>
        <v>1.206956522</v>
      </c>
      <c r="J1067" s="81">
        <f t="shared" si="2"/>
        <v>0.4531126872</v>
      </c>
    </row>
    <row r="1068">
      <c r="A1068" s="82">
        <v>44704.0</v>
      </c>
      <c r="B1068" s="66">
        <v>2031.0</v>
      </c>
      <c r="C1068" s="66">
        <v>2.0</v>
      </c>
      <c r="D1068" s="66" t="s">
        <v>205</v>
      </c>
      <c r="E1068" s="66">
        <v>0.0</v>
      </c>
      <c r="F1068" s="66">
        <v>0.0596</v>
      </c>
      <c r="G1068" s="66">
        <v>0.027</v>
      </c>
      <c r="H1068" s="66" t="s">
        <v>227</v>
      </c>
      <c r="I1068" s="81">
        <f t="shared" si="1"/>
        <v>1.207407407</v>
      </c>
      <c r="J1068" s="81">
        <f t="shared" si="2"/>
        <v>0.4530201342</v>
      </c>
    </row>
    <row r="1069">
      <c r="A1069" s="82">
        <v>44704.0</v>
      </c>
      <c r="B1069" s="66">
        <v>2031.0</v>
      </c>
      <c r="C1069" s="66">
        <v>2.0</v>
      </c>
      <c r="D1069" s="66" t="s">
        <v>204</v>
      </c>
      <c r="E1069" s="66">
        <v>0.0</v>
      </c>
      <c r="F1069" s="66">
        <v>0.2212</v>
      </c>
      <c r="G1069" s="66">
        <v>0.1002</v>
      </c>
      <c r="I1069" s="81">
        <f t="shared" si="1"/>
        <v>1.20758483</v>
      </c>
      <c r="J1069" s="81">
        <f t="shared" si="2"/>
        <v>0.4529837251</v>
      </c>
    </row>
    <row r="1070">
      <c r="A1070" s="82">
        <v>44704.0</v>
      </c>
      <c r="B1070" s="66">
        <v>2031.0</v>
      </c>
      <c r="C1070" s="66">
        <v>2.0</v>
      </c>
      <c r="D1070" s="66" t="s">
        <v>204</v>
      </c>
      <c r="E1070" s="66">
        <v>1.0</v>
      </c>
      <c r="F1070" s="66">
        <v>0.0552</v>
      </c>
      <c r="G1070" s="66">
        <v>0.025</v>
      </c>
      <c r="H1070" s="66" t="s">
        <v>227</v>
      </c>
      <c r="I1070" s="81">
        <f t="shared" si="1"/>
        <v>1.208</v>
      </c>
      <c r="J1070" s="81">
        <f t="shared" si="2"/>
        <v>0.4528985507</v>
      </c>
    </row>
    <row r="1071">
      <c r="A1071" s="82">
        <v>44704.0</v>
      </c>
      <c r="B1071" s="66">
        <v>2031.0</v>
      </c>
      <c r="C1071" s="66">
        <v>3.0</v>
      </c>
      <c r="D1071" s="66" t="s">
        <v>205</v>
      </c>
      <c r="E1071" s="66">
        <v>0.0</v>
      </c>
      <c r="F1071" s="66">
        <v>0.1259</v>
      </c>
      <c r="G1071" s="66">
        <v>0.057</v>
      </c>
      <c r="H1071" s="66" t="s">
        <v>227</v>
      </c>
      <c r="I1071" s="81">
        <f t="shared" si="1"/>
        <v>1.20877193</v>
      </c>
      <c r="J1071" s="81">
        <f t="shared" si="2"/>
        <v>0.4527402701</v>
      </c>
    </row>
    <row r="1072">
      <c r="A1072" s="82">
        <v>44704.0</v>
      </c>
      <c r="B1072" s="66">
        <v>2031.0</v>
      </c>
      <c r="C1072" s="66">
        <v>3.0</v>
      </c>
      <c r="D1072" s="66" t="s">
        <v>204</v>
      </c>
      <c r="E1072" s="66">
        <v>1.0</v>
      </c>
      <c r="F1072" s="66">
        <v>0.4687</v>
      </c>
      <c r="G1072" s="66">
        <v>0.212</v>
      </c>
      <c r="H1072" s="66" t="s">
        <v>226</v>
      </c>
      <c r="I1072" s="81">
        <f t="shared" si="1"/>
        <v>1.210849057</v>
      </c>
      <c r="J1072" s="81">
        <f t="shared" si="2"/>
        <v>0.4523149136</v>
      </c>
    </row>
    <row r="1073">
      <c r="A1073" s="82">
        <v>44704.0</v>
      </c>
      <c r="B1073" s="66">
        <v>2031.0</v>
      </c>
      <c r="C1073" s="66">
        <v>3.0</v>
      </c>
      <c r="D1073" s="66" t="s">
        <v>204</v>
      </c>
      <c r="E1073" s="66">
        <v>1.0</v>
      </c>
      <c r="F1073" s="66">
        <v>0.1216</v>
      </c>
      <c r="G1073" s="66">
        <v>0.055</v>
      </c>
      <c r="H1073" s="66" t="s">
        <v>226</v>
      </c>
      <c r="I1073" s="81">
        <f t="shared" si="1"/>
        <v>1.210909091</v>
      </c>
      <c r="J1073" s="81">
        <f t="shared" si="2"/>
        <v>0.4523026316</v>
      </c>
    </row>
    <row r="1074">
      <c r="A1074" s="82">
        <v>44704.0</v>
      </c>
      <c r="B1074" s="66">
        <v>2083.0</v>
      </c>
      <c r="C1074" s="66">
        <v>1.0</v>
      </c>
      <c r="D1074" s="66" t="s">
        <v>205</v>
      </c>
      <c r="E1074" s="66">
        <v>0.0</v>
      </c>
      <c r="F1074" s="66">
        <v>0.1955</v>
      </c>
      <c r="G1074" s="66">
        <v>0.0884</v>
      </c>
      <c r="I1074" s="81">
        <f t="shared" si="1"/>
        <v>1.211538462</v>
      </c>
      <c r="J1074" s="81">
        <f t="shared" si="2"/>
        <v>0.452173913</v>
      </c>
    </row>
    <row r="1075">
      <c r="A1075" s="82">
        <v>44704.0</v>
      </c>
      <c r="B1075" s="66">
        <v>2083.0</v>
      </c>
      <c r="C1075" s="66">
        <v>1.0</v>
      </c>
      <c r="D1075" s="66" t="s">
        <v>204</v>
      </c>
      <c r="E1075" s="66">
        <v>0.0</v>
      </c>
      <c r="F1075" s="66">
        <v>0.0292</v>
      </c>
      <c r="G1075" s="66">
        <v>0.0132</v>
      </c>
      <c r="I1075" s="81">
        <f t="shared" si="1"/>
        <v>1.212121212</v>
      </c>
      <c r="J1075" s="81">
        <f t="shared" si="2"/>
        <v>0.4520547945</v>
      </c>
    </row>
    <row r="1076">
      <c r="A1076" s="82">
        <v>44704.0</v>
      </c>
      <c r="B1076" s="66">
        <v>2083.0</v>
      </c>
      <c r="C1076" s="66">
        <v>1.0</v>
      </c>
      <c r="D1076" s="66" t="s">
        <v>204</v>
      </c>
      <c r="E1076" s="66">
        <v>1.0</v>
      </c>
      <c r="F1076" s="66">
        <v>0.0938</v>
      </c>
      <c r="G1076" s="66">
        <v>0.0424</v>
      </c>
      <c r="I1076" s="81">
        <f t="shared" si="1"/>
        <v>1.212264151</v>
      </c>
      <c r="J1076" s="81">
        <f t="shared" si="2"/>
        <v>0.4520255864</v>
      </c>
    </row>
    <row r="1077">
      <c r="A1077" s="82">
        <v>44704.0</v>
      </c>
      <c r="B1077" s="66">
        <v>2083.0</v>
      </c>
      <c r="C1077" s="66">
        <v>2.0</v>
      </c>
      <c r="D1077" s="66" t="s">
        <v>205</v>
      </c>
      <c r="E1077" s="66">
        <v>0.0</v>
      </c>
      <c r="F1077" s="66">
        <v>0.1613</v>
      </c>
      <c r="G1077" s="66">
        <v>0.0729</v>
      </c>
      <c r="I1077" s="81">
        <f t="shared" si="1"/>
        <v>1.212620027</v>
      </c>
      <c r="J1077" s="81">
        <f t="shared" si="2"/>
        <v>0.4519528828</v>
      </c>
    </row>
    <row r="1078">
      <c r="A1078" s="82">
        <v>44704.0</v>
      </c>
      <c r="B1078" s="66">
        <v>2083.0</v>
      </c>
      <c r="C1078" s="66">
        <v>2.0</v>
      </c>
      <c r="D1078" s="66" t="s">
        <v>204</v>
      </c>
      <c r="E1078" s="66">
        <v>0.0</v>
      </c>
      <c r="F1078" s="66">
        <v>0.2738</v>
      </c>
      <c r="G1078" s="66">
        <v>0.1237</v>
      </c>
      <c r="I1078" s="81">
        <f t="shared" si="1"/>
        <v>1.213419563</v>
      </c>
      <c r="J1078" s="81">
        <f t="shared" si="2"/>
        <v>0.4517896275</v>
      </c>
    </row>
    <row r="1079">
      <c r="A1079" s="82">
        <v>44704.0</v>
      </c>
      <c r="B1079" s="66">
        <v>2083.0</v>
      </c>
      <c r="C1079" s="66">
        <v>2.0</v>
      </c>
      <c r="D1079" s="66" t="s">
        <v>204</v>
      </c>
      <c r="E1079" s="66">
        <v>1.0</v>
      </c>
      <c r="F1079" s="66">
        <v>0.4383</v>
      </c>
      <c r="G1079" s="66">
        <v>0.198</v>
      </c>
      <c r="I1079" s="81">
        <f t="shared" si="1"/>
        <v>1.213636364</v>
      </c>
      <c r="J1079" s="81">
        <f t="shared" si="2"/>
        <v>0.4517453799</v>
      </c>
    </row>
    <row r="1080">
      <c r="A1080" s="82">
        <v>44704.0</v>
      </c>
      <c r="B1080" s="66">
        <v>2083.0</v>
      </c>
      <c r="C1080" s="66">
        <v>3.0</v>
      </c>
      <c r="D1080" s="66" t="s">
        <v>205</v>
      </c>
      <c r="E1080" s="66">
        <v>0.0</v>
      </c>
      <c r="F1080" s="66">
        <v>0.144</v>
      </c>
      <c r="G1080" s="66">
        <v>0.065</v>
      </c>
      <c r="H1080" s="66" t="s">
        <v>227</v>
      </c>
      <c r="I1080" s="81">
        <f t="shared" si="1"/>
        <v>1.215384615</v>
      </c>
      <c r="J1080" s="81">
        <f t="shared" si="2"/>
        <v>0.4513888889</v>
      </c>
    </row>
    <row r="1081">
      <c r="A1081" s="82">
        <v>44704.0</v>
      </c>
      <c r="B1081" s="66">
        <v>2083.0</v>
      </c>
      <c r="C1081" s="66">
        <v>3.0</v>
      </c>
      <c r="D1081" s="66" t="s">
        <v>204</v>
      </c>
      <c r="E1081" s="66">
        <v>1.0</v>
      </c>
      <c r="F1081" s="66">
        <v>0.2682</v>
      </c>
      <c r="G1081" s="66">
        <v>0.121</v>
      </c>
      <c r="H1081" s="66" t="s">
        <v>227</v>
      </c>
      <c r="I1081" s="81">
        <f t="shared" si="1"/>
        <v>1.216528926</v>
      </c>
      <c r="J1081" s="81">
        <f t="shared" si="2"/>
        <v>0.4511558538</v>
      </c>
    </row>
    <row r="1082">
      <c r="A1082" s="82">
        <v>44704.0</v>
      </c>
      <c r="B1082" s="66">
        <v>2343.0</v>
      </c>
      <c r="C1082" s="66">
        <v>1.0</v>
      </c>
      <c r="D1082" s="66" t="s">
        <v>205</v>
      </c>
      <c r="E1082" s="66">
        <v>0.0</v>
      </c>
      <c r="F1082" s="66">
        <v>1.8003</v>
      </c>
      <c r="G1082" s="66">
        <v>0.8122</v>
      </c>
      <c r="H1082" s="66" t="s">
        <v>226</v>
      </c>
      <c r="I1082" s="81">
        <f t="shared" si="1"/>
        <v>1.216572273</v>
      </c>
      <c r="J1082" s="81">
        <f t="shared" si="2"/>
        <v>0.4511470311</v>
      </c>
    </row>
    <row r="1083">
      <c r="A1083" s="82">
        <v>44704.0</v>
      </c>
      <c r="B1083" s="66">
        <v>2343.0</v>
      </c>
      <c r="C1083" s="66">
        <v>1.0</v>
      </c>
      <c r="D1083" s="66" t="s">
        <v>204</v>
      </c>
      <c r="E1083" s="66">
        <v>0.0</v>
      </c>
      <c r="F1083" s="66">
        <v>0.1685</v>
      </c>
      <c r="G1083" s="66">
        <v>0.076</v>
      </c>
      <c r="H1083" s="66" t="s">
        <v>227</v>
      </c>
      <c r="I1083" s="81">
        <f t="shared" si="1"/>
        <v>1.217105263</v>
      </c>
      <c r="J1083" s="81">
        <f t="shared" si="2"/>
        <v>0.4510385757</v>
      </c>
    </row>
    <row r="1084">
      <c r="A1084" s="82">
        <v>44704.0</v>
      </c>
      <c r="B1084" s="66">
        <v>2343.0</v>
      </c>
      <c r="C1084" s="66">
        <v>1.0</v>
      </c>
      <c r="D1084" s="66" t="s">
        <v>204</v>
      </c>
      <c r="E1084" s="66">
        <v>1.0</v>
      </c>
      <c r="F1084" s="66">
        <v>1.5562</v>
      </c>
      <c r="G1084" s="66">
        <v>0.7019</v>
      </c>
      <c r="I1084" s="81">
        <f t="shared" si="1"/>
        <v>1.217124947</v>
      </c>
      <c r="J1084" s="81">
        <f t="shared" si="2"/>
        <v>0.4510345714</v>
      </c>
    </row>
    <row r="1085">
      <c r="A1085" s="82">
        <v>44704.0</v>
      </c>
      <c r="B1085" s="66">
        <v>2343.0</v>
      </c>
      <c r="C1085" s="66">
        <v>2.0</v>
      </c>
      <c r="D1085" s="66" t="s">
        <v>205</v>
      </c>
      <c r="E1085" s="66">
        <v>0.0</v>
      </c>
      <c r="F1085" s="66">
        <v>0.6429</v>
      </c>
      <c r="G1085" s="66">
        <v>0.2899</v>
      </c>
      <c r="I1085" s="81">
        <f t="shared" si="1"/>
        <v>1.217661263</v>
      </c>
      <c r="J1085" s="81">
        <f t="shared" si="2"/>
        <v>0.4509254939</v>
      </c>
    </row>
    <row r="1086">
      <c r="A1086" s="82">
        <v>44704.0</v>
      </c>
      <c r="B1086" s="66">
        <v>2343.0</v>
      </c>
      <c r="C1086" s="66">
        <v>2.0</v>
      </c>
      <c r="D1086" s="66" t="s">
        <v>204</v>
      </c>
      <c r="E1086" s="66">
        <v>0.0</v>
      </c>
      <c r="F1086" s="66">
        <v>0.4134</v>
      </c>
      <c r="G1086" s="66">
        <v>0.1863</v>
      </c>
      <c r="I1086" s="81">
        <f t="shared" si="1"/>
        <v>1.21900161</v>
      </c>
      <c r="J1086" s="81">
        <f t="shared" si="2"/>
        <v>0.4506531205</v>
      </c>
    </row>
    <row r="1087">
      <c r="A1087" s="82">
        <v>44704.0</v>
      </c>
      <c r="B1087" s="66">
        <v>2343.0</v>
      </c>
      <c r="C1087" s="66">
        <v>2.0</v>
      </c>
      <c r="D1087" s="66" t="s">
        <v>204</v>
      </c>
      <c r="E1087" s="66">
        <v>1.0</v>
      </c>
      <c r="F1087" s="66">
        <v>0.3882</v>
      </c>
      <c r="G1087" s="66">
        <v>0.1749</v>
      </c>
      <c r="I1087" s="81">
        <f t="shared" si="1"/>
        <v>1.219554031</v>
      </c>
      <c r="J1087" s="81">
        <f t="shared" si="2"/>
        <v>0.4505409583</v>
      </c>
    </row>
    <row r="1088">
      <c r="A1088" s="82">
        <v>44704.0</v>
      </c>
      <c r="B1088" s="66">
        <v>2343.0</v>
      </c>
      <c r="C1088" s="66">
        <v>3.0</v>
      </c>
      <c r="D1088" s="66" t="s">
        <v>205</v>
      </c>
      <c r="E1088" s="66">
        <v>0.0</v>
      </c>
      <c r="F1088" s="66">
        <v>0.0726</v>
      </c>
      <c r="G1088" s="66">
        <v>0.0327</v>
      </c>
      <c r="I1088" s="81">
        <f t="shared" si="1"/>
        <v>1.220183486</v>
      </c>
      <c r="J1088" s="81">
        <f t="shared" si="2"/>
        <v>0.4504132231</v>
      </c>
    </row>
    <row r="1089">
      <c r="A1089" s="82">
        <v>44704.0</v>
      </c>
      <c r="B1089" s="66">
        <v>2343.0</v>
      </c>
      <c r="C1089" s="66">
        <v>3.0</v>
      </c>
      <c r="D1089" s="66" t="s">
        <v>204</v>
      </c>
      <c r="E1089" s="66">
        <v>0.0</v>
      </c>
      <c r="F1089" s="66">
        <v>0.1119</v>
      </c>
      <c r="G1089" s="66">
        <v>0.0504</v>
      </c>
      <c r="H1089" s="66" t="s">
        <v>226</v>
      </c>
      <c r="I1089" s="81">
        <f t="shared" si="1"/>
        <v>1.220238095</v>
      </c>
      <c r="J1089" s="81">
        <f t="shared" si="2"/>
        <v>0.4504021448</v>
      </c>
    </row>
    <row r="1090">
      <c r="A1090" s="82">
        <v>44704.0</v>
      </c>
      <c r="B1090" s="66">
        <v>2343.0</v>
      </c>
      <c r="C1090" s="66">
        <v>3.0</v>
      </c>
      <c r="D1090" s="66" t="s">
        <v>204</v>
      </c>
      <c r="E1090" s="66">
        <v>1.0</v>
      </c>
      <c r="F1090" s="66">
        <v>0.1168</v>
      </c>
      <c r="G1090" s="66">
        <v>0.0526</v>
      </c>
      <c r="H1090" s="66" t="s">
        <v>226</v>
      </c>
      <c r="I1090" s="81">
        <f t="shared" si="1"/>
        <v>1.220532319</v>
      </c>
      <c r="J1090" s="81">
        <f t="shared" si="2"/>
        <v>0.4503424658</v>
      </c>
    </row>
    <row r="1091">
      <c r="A1091" s="82">
        <v>44704.0</v>
      </c>
      <c r="B1091" s="66">
        <v>2354.0</v>
      </c>
      <c r="C1091" s="66">
        <v>1.0</v>
      </c>
      <c r="D1091" s="66" t="s">
        <v>205</v>
      </c>
      <c r="E1091" s="66">
        <v>1.0</v>
      </c>
      <c r="F1091" s="66">
        <v>0.191</v>
      </c>
      <c r="G1091" s="66">
        <v>0.086</v>
      </c>
      <c r="H1091" s="66" t="s">
        <v>227</v>
      </c>
      <c r="I1091" s="81">
        <f t="shared" si="1"/>
        <v>1.220930233</v>
      </c>
      <c r="J1091" s="81">
        <f t="shared" si="2"/>
        <v>0.4502617801</v>
      </c>
    </row>
    <row r="1092">
      <c r="A1092" s="82">
        <v>44704.0</v>
      </c>
      <c r="B1092" s="66">
        <v>2354.0</v>
      </c>
      <c r="C1092" s="66">
        <v>1.0</v>
      </c>
      <c r="D1092" s="66" t="s">
        <v>204</v>
      </c>
      <c r="E1092" s="66">
        <v>1.0</v>
      </c>
      <c r="F1092" s="66">
        <v>1.224</v>
      </c>
      <c r="G1092" s="66">
        <v>0.551</v>
      </c>
      <c r="H1092" s="66" t="s">
        <v>229</v>
      </c>
      <c r="I1092" s="81">
        <f t="shared" si="1"/>
        <v>1.221415608</v>
      </c>
      <c r="J1092" s="81">
        <f t="shared" si="2"/>
        <v>0.4501633987</v>
      </c>
    </row>
    <row r="1093">
      <c r="A1093" s="82">
        <v>44704.0</v>
      </c>
      <c r="B1093" s="66">
        <v>2354.0</v>
      </c>
      <c r="C1093" s="66">
        <v>2.0</v>
      </c>
      <c r="D1093" s="66" t="s">
        <v>205</v>
      </c>
      <c r="E1093" s="66">
        <v>1.0</v>
      </c>
      <c r="F1093" s="66">
        <v>1.1387</v>
      </c>
      <c r="G1093" s="66">
        <v>0.5126</v>
      </c>
      <c r="H1093" s="66" t="s">
        <v>226</v>
      </c>
      <c r="I1093" s="81">
        <f t="shared" si="1"/>
        <v>1.221420211</v>
      </c>
      <c r="J1093" s="81">
        <f t="shared" si="2"/>
        <v>0.450162466</v>
      </c>
    </row>
    <row r="1094">
      <c r="A1094" s="82">
        <v>44704.0</v>
      </c>
      <c r="B1094" s="66">
        <v>2354.0</v>
      </c>
      <c r="C1094" s="66">
        <v>2.0</v>
      </c>
      <c r="D1094" s="66" t="s">
        <v>204</v>
      </c>
      <c r="E1094" s="66">
        <v>1.0</v>
      </c>
      <c r="F1094" s="66">
        <v>0.1133</v>
      </c>
      <c r="G1094" s="66">
        <v>0.051</v>
      </c>
      <c r="H1094" s="66" t="s">
        <v>227</v>
      </c>
      <c r="I1094" s="81">
        <f t="shared" si="1"/>
        <v>1.221568627</v>
      </c>
      <c r="J1094" s="81">
        <f t="shared" si="2"/>
        <v>0.4501323919</v>
      </c>
    </row>
    <row r="1095">
      <c r="A1095" s="82">
        <v>44704.0</v>
      </c>
      <c r="B1095" s="66">
        <v>2354.0</v>
      </c>
      <c r="C1095" s="66">
        <v>3.0</v>
      </c>
      <c r="D1095" s="66" t="s">
        <v>205</v>
      </c>
      <c r="E1095" s="66">
        <v>1.0</v>
      </c>
      <c r="F1095" s="66">
        <v>0.3182</v>
      </c>
      <c r="G1095" s="66">
        <v>0.1432</v>
      </c>
      <c r="H1095" s="66" t="s">
        <v>226</v>
      </c>
      <c r="I1095" s="81">
        <f t="shared" si="1"/>
        <v>1.222067039</v>
      </c>
      <c r="J1095" s="81">
        <f t="shared" si="2"/>
        <v>0.4500314268</v>
      </c>
    </row>
    <row r="1096">
      <c r="A1096" s="82">
        <v>44704.0</v>
      </c>
      <c r="B1096" s="66">
        <v>2354.0</v>
      </c>
      <c r="C1096" s="66">
        <v>3.0</v>
      </c>
      <c r="D1096" s="66" t="s">
        <v>204</v>
      </c>
      <c r="E1096" s="66">
        <v>1.0</v>
      </c>
      <c r="F1096" s="66">
        <v>0.0329</v>
      </c>
      <c r="G1096" s="66">
        <v>0.0148</v>
      </c>
      <c r="H1096" s="66" t="s">
        <v>226</v>
      </c>
      <c r="I1096" s="81">
        <f t="shared" si="1"/>
        <v>1.222972973</v>
      </c>
      <c r="J1096" s="81">
        <f t="shared" si="2"/>
        <v>0.4498480243</v>
      </c>
    </row>
    <row r="1097">
      <c r="A1097" s="82">
        <v>44704.0</v>
      </c>
      <c r="B1097" s="66">
        <v>2360.0</v>
      </c>
      <c r="C1097" s="66">
        <v>1.0</v>
      </c>
      <c r="D1097" s="66" t="s">
        <v>205</v>
      </c>
      <c r="E1097" s="66">
        <v>0.0</v>
      </c>
      <c r="F1097" s="66">
        <v>0.3135</v>
      </c>
      <c r="G1097" s="66">
        <v>0.141</v>
      </c>
      <c r="H1097" s="66" t="s">
        <v>226</v>
      </c>
      <c r="I1097" s="81">
        <f t="shared" si="1"/>
        <v>1.223404255</v>
      </c>
      <c r="J1097" s="81">
        <f t="shared" si="2"/>
        <v>0.4497607656</v>
      </c>
    </row>
    <row r="1098">
      <c r="A1098" s="82">
        <v>44704.0</v>
      </c>
      <c r="B1098" s="66">
        <v>2360.0</v>
      </c>
      <c r="C1098" s="66">
        <v>1.0</v>
      </c>
      <c r="D1098" s="66" t="s">
        <v>204</v>
      </c>
      <c r="E1098" s="66">
        <v>0.0</v>
      </c>
      <c r="F1098" s="66">
        <v>0.2468</v>
      </c>
      <c r="G1098" s="84">
        <v>0.111</v>
      </c>
      <c r="I1098" s="81">
        <f t="shared" si="1"/>
        <v>1.223423423</v>
      </c>
      <c r="J1098" s="81">
        <f t="shared" si="2"/>
        <v>0.4497568882</v>
      </c>
    </row>
    <row r="1099">
      <c r="A1099" s="82">
        <v>44704.0</v>
      </c>
      <c r="B1099" s="66">
        <v>2360.0</v>
      </c>
      <c r="C1099" s="66">
        <v>1.0</v>
      </c>
      <c r="D1099" s="66" t="s">
        <v>204</v>
      </c>
      <c r="E1099" s="66">
        <v>1.0</v>
      </c>
      <c r="F1099" s="66">
        <v>0.169</v>
      </c>
      <c r="G1099" s="66">
        <v>0.076</v>
      </c>
      <c r="H1099" s="66" t="s">
        <v>227</v>
      </c>
      <c r="I1099" s="81">
        <f t="shared" si="1"/>
        <v>1.223684211</v>
      </c>
      <c r="J1099" s="81">
        <f t="shared" si="2"/>
        <v>0.449704142</v>
      </c>
    </row>
    <row r="1100">
      <c r="A1100" s="82">
        <v>44704.0</v>
      </c>
      <c r="B1100" s="66">
        <v>2360.0</v>
      </c>
      <c r="C1100" s="66">
        <v>2.0</v>
      </c>
      <c r="D1100" s="66" t="s">
        <v>205</v>
      </c>
      <c r="E1100" s="66">
        <v>0.0</v>
      </c>
      <c r="F1100" s="66">
        <v>0.7073</v>
      </c>
      <c r="G1100" s="66">
        <v>0.318</v>
      </c>
      <c r="H1100" s="66" t="s">
        <v>227</v>
      </c>
      <c r="I1100" s="81">
        <f t="shared" si="1"/>
        <v>1.224213836</v>
      </c>
      <c r="J1100" s="81">
        <f t="shared" si="2"/>
        <v>0.4495970592</v>
      </c>
    </row>
    <row r="1101">
      <c r="A1101" s="82">
        <v>44704.0</v>
      </c>
      <c r="B1101" s="66">
        <v>2360.0</v>
      </c>
      <c r="C1101" s="66">
        <v>2.0</v>
      </c>
      <c r="D1101" s="66" t="s">
        <v>204</v>
      </c>
      <c r="E1101" s="66">
        <v>0.0</v>
      </c>
      <c r="F1101" s="66">
        <v>2.311</v>
      </c>
      <c r="G1101" s="66">
        <v>1.039</v>
      </c>
      <c r="H1101" s="66" t="s">
        <v>228</v>
      </c>
      <c r="I1101" s="81">
        <f t="shared" si="1"/>
        <v>1.22425409</v>
      </c>
      <c r="J1101" s="81">
        <f t="shared" si="2"/>
        <v>0.4495889225</v>
      </c>
    </row>
    <row r="1102">
      <c r="A1102" s="82">
        <v>44704.0</v>
      </c>
      <c r="B1102" s="66">
        <v>2360.0</v>
      </c>
      <c r="C1102" s="66">
        <v>2.0</v>
      </c>
      <c r="D1102" s="66" t="s">
        <v>204</v>
      </c>
      <c r="E1102" s="66">
        <v>1.0</v>
      </c>
      <c r="F1102" s="66">
        <v>0.178</v>
      </c>
      <c r="G1102" s="66">
        <v>0.08</v>
      </c>
      <c r="H1102" s="66" t="s">
        <v>227</v>
      </c>
      <c r="I1102" s="81">
        <f t="shared" si="1"/>
        <v>1.225</v>
      </c>
      <c r="J1102" s="81">
        <f t="shared" si="2"/>
        <v>0.4494382022</v>
      </c>
    </row>
    <row r="1103">
      <c r="A1103" s="82">
        <v>44704.0</v>
      </c>
      <c r="B1103" s="66">
        <v>2360.0</v>
      </c>
      <c r="C1103" s="66">
        <v>3.0</v>
      </c>
      <c r="D1103" s="66" t="s">
        <v>205</v>
      </c>
      <c r="E1103" s="66">
        <v>0.0</v>
      </c>
      <c r="F1103" s="66">
        <v>0.069</v>
      </c>
      <c r="G1103" s="66">
        <v>0.031</v>
      </c>
      <c r="H1103" s="66" t="s">
        <v>227</v>
      </c>
      <c r="I1103" s="81">
        <f t="shared" si="1"/>
        <v>1.225806452</v>
      </c>
      <c r="J1103" s="81">
        <f t="shared" si="2"/>
        <v>0.4492753623</v>
      </c>
    </row>
    <row r="1104">
      <c r="A1104" s="82">
        <v>44704.0</v>
      </c>
      <c r="B1104" s="66">
        <v>2360.0</v>
      </c>
      <c r="C1104" s="66">
        <v>3.0</v>
      </c>
      <c r="D1104" s="66" t="s">
        <v>204</v>
      </c>
      <c r="E1104" s="66">
        <v>0.0</v>
      </c>
      <c r="F1104" s="66">
        <v>1.1115</v>
      </c>
      <c r="G1104" s="66">
        <v>0.4992</v>
      </c>
      <c r="H1104" s="66" t="s">
        <v>226</v>
      </c>
      <c r="I1104" s="81">
        <f t="shared" si="1"/>
        <v>1.2265625</v>
      </c>
      <c r="J1104" s="81">
        <f t="shared" si="2"/>
        <v>0.449122807</v>
      </c>
    </row>
    <row r="1105">
      <c r="A1105" s="82">
        <v>44704.0</v>
      </c>
      <c r="B1105" s="66">
        <v>2360.0</v>
      </c>
      <c r="C1105" s="66">
        <v>3.0</v>
      </c>
      <c r="D1105" s="66" t="s">
        <v>204</v>
      </c>
      <c r="E1105" s="66">
        <v>1.0</v>
      </c>
      <c r="F1105" s="66">
        <v>1.2853</v>
      </c>
      <c r="G1105" s="66">
        <v>0.577</v>
      </c>
      <c r="H1105" s="66" t="s">
        <v>226</v>
      </c>
      <c r="I1105" s="81">
        <f t="shared" si="1"/>
        <v>1.227556326</v>
      </c>
      <c r="J1105" s="81">
        <f t="shared" si="2"/>
        <v>0.4489224306</v>
      </c>
    </row>
    <row r="1106">
      <c r="A1106" s="82">
        <v>44704.0</v>
      </c>
      <c r="B1106" s="66">
        <v>2365.0</v>
      </c>
      <c r="C1106" s="66">
        <v>1.0</v>
      </c>
      <c r="D1106" s="66" t="s">
        <v>205</v>
      </c>
      <c r="E1106" s="66">
        <v>0.0</v>
      </c>
      <c r="F1106" s="66">
        <v>0.1382</v>
      </c>
      <c r="G1106" s="66">
        <v>0.062</v>
      </c>
      <c r="H1106" s="66" t="s">
        <v>227</v>
      </c>
      <c r="I1106" s="81">
        <f t="shared" si="1"/>
        <v>1.229032258</v>
      </c>
      <c r="J1106" s="81">
        <f t="shared" si="2"/>
        <v>0.4486251809</v>
      </c>
    </row>
    <row r="1107">
      <c r="A1107" s="82">
        <v>44704.0</v>
      </c>
      <c r="B1107" s="66">
        <v>2365.0</v>
      </c>
      <c r="C1107" s="66">
        <v>1.0</v>
      </c>
      <c r="D1107" s="66" t="s">
        <v>204</v>
      </c>
      <c r="E1107" s="66">
        <v>0.0</v>
      </c>
      <c r="F1107" s="66">
        <v>0.1293</v>
      </c>
      <c r="G1107" s="66">
        <v>0.058</v>
      </c>
      <c r="H1107" s="66" t="s">
        <v>226</v>
      </c>
      <c r="I1107" s="81">
        <f t="shared" si="1"/>
        <v>1.229310345</v>
      </c>
      <c r="J1107" s="81">
        <f t="shared" si="2"/>
        <v>0.4485692189</v>
      </c>
    </row>
    <row r="1108">
      <c r="A1108" s="82">
        <v>44704.0</v>
      </c>
      <c r="B1108" s="66">
        <v>2365.0</v>
      </c>
      <c r="C1108" s="66">
        <v>1.0</v>
      </c>
      <c r="D1108" s="66" t="s">
        <v>204</v>
      </c>
      <c r="E1108" s="66">
        <v>1.0</v>
      </c>
      <c r="F1108" s="66">
        <v>0.3642</v>
      </c>
      <c r="G1108" s="66">
        <v>0.1633</v>
      </c>
      <c r="I1108" s="81">
        <f t="shared" si="1"/>
        <v>1.230251072</v>
      </c>
      <c r="J1108" s="81">
        <f t="shared" si="2"/>
        <v>0.448380011</v>
      </c>
    </row>
    <row r="1109">
      <c r="A1109" s="82">
        <v>44704.0</v>
      </c>
      <c r="B1109" s="66">
        <v>2365.0</v>
      </c>
      <c r="C1109" s="66">
        <v>2.0</v>
      </c>
      <c r="D1109" s="66" t="s">
        <v>205</v>
      </c>
      <c r="E1109" s="66">
        <v>0.0</v>
      </c>
      <c r="F1109" s="84">
        <v>2.509</v>
      </c>
      <c r="G1109" s="66">
        <v>1.1249</v>
      </c>
      <c r="I1109" s="81">
        <f t="shared" si="1"/>
        <v>1.230420482</v>
      </c>
      <c r="J1109" s="81">
        <f t="shared" si="2"/>
        <v>0.4483459546</v>
      </c>
    </row>
    <row r="1110">
      <c r="A1110" s="82">
        <v>44704.0</v>
      </c>
      <c r="B1110" s="66">
        <v>2365.0</v>
      </c>
      <c r="C1110" s="66">
        <v>2.0</v>
      </c>
      <c r="D1110" s="66" t="s">
        <v>204</v>
      </c>
      <c r="E1110" s="66">
        <v>1.0</v>
      </c>
      <c r="F1110" s="66">
        <v>0.058</v>
      </c>
      <c r="G1110" s="66">
        <v>0.026</v>
      </c>
      <c r="H1110" s="66" t="s">
        <v>227</v>
      </c>
      <c r="I1110" s="81">
        <f t="shared" si="1"/>
        <v>1.230769231</v>
      </c>
      <c r="J1110" s="81">
        <f t="shared" si="2"/>
        <v>0.4482758621</v>
      </c>
    </row>
    <row r="1111">
      <c r="A1111" s="82">
        <v>44704.0</v>
      </c>
      <c r="B1111" s="66">
        <v>2365.0</v>
      </c>
      <c r="C1111" s="66">
        <v>2.0</v>
      </c>
      <c r="D1111" s="66" t="s">
        <v>204</v>
      </c>
      <c r="E1111" s="66">
        <v>1.0</v>
      </c>
      <c r="F1111" s="66">
        <v>1.7455</v>
      </c>
      <c r="G1111" s="66">
        <v>0.7823</v>
      </c>
      <c r="I1111" s="81">
        <f t="shared" si="1"/>
        <v>1.231241212</v>
      </c>
      <c r="J1111" s="81">
        <f t="shared" si="2"/>
        <v>0.448181037</v>
      </c>
    </row>
    <row r="1112">
      <c r="A1112" s="82">
        <v>44704.0</v>
      </c>
      <c r="B1112" s="66">
        <v>2365.0</v>
      </c>
      <c r="C1112" s="66">
        <v>3.0</v>
      </c>
      <c r="D1112" s="66" t="s">
        <v>205</v>
      </c>
      <c r="E1112" s="66">
        <v>0.0</v>
      </c>
      <c r="F1112" s="66">
        <v>0.0357</v>
      </c>
      <c r="G1112" s="66">
        <v>0.016</v>
      </c>
      <c r="I1112" s="81">
        <f t="shared" si="1"/>
        <v>1.23125</v>
      </c>
      <c r="J1112" s="81">
        <f t="shared" si="2"/>
        <v>0.4481792717</v>
      </c>
    </row>
    <row r="1113">
      <c r="A1113" s="82">
        <v>44704.0</v>
      </c>
      <c r="B1113" s="66">
        <v>2365.0</v>
      </c>
      <c r="C1113" s="66">
        <v>3.0</v>
      </c>
      <c r="D1113" s="66" t="s">
        <v>204</v>
      </c>
      <c r="E1113" s="66">
        <v>0.0</v>
      </c>
      <c r="F1113" s="66">
        <v>0.442</v>
      </c>
      <c r="G1113" s="66">
        <v>0.198</v>
      </c>
      <c r="H1113" s="66" t="s">
        <v>227</v>
      </c>
      <c r="I1113" s="81">
        <f t="shared" si="1"/>
        <v>1.232323232</v>
      </c>
      <c r="J1113" s="81">
        <f t="shared" si="2"/>
        <v>0.4479638009</v>
      </c>
    </row>
    <row r="1114">
      <c r="A1114" s="82">
        <v>44704.0</v>
      </c>
      <c r="B1114" s="66">
        <v>2365.0</v>
      </c>
      <c r="C1114" s="66">
        <v>3.0</v>
      </c>
      <c r="D1114" s="66" t="s">
        <v>204</v>
      </c>
      <c r="E1114" s="66">
        <v>1.0</v>
      </c>
      <c r="F1114" s="66">
        <v>0.0568</v>
      </c>
      <c r="G1114" s="66">
        <v>0.0254</v>
      </c>
      <c r="H1114" s="66" t="s">
        <v>226</v>
      </c>
      <c r="I1114" s="81">
        <f t="shared" si="1"/>
        <v>1.236220472</v>
      </c>
      <c r="J1114" s="81">
        <f t="shared" si="2"/>
        <v>0.4471830986</v>
      </c>
    </row>
    <row r="1115">
      <c r="A1115" s="82">
        <v>44704.0</v>
      </c>
      <c r="B1115" s="66">
        <v>2367.0</v>
      </c>
      <c r="C1115" s="66">
        <v>1.0</v>
      </c>
      <c r="D1115" s="66" t="s">
        <v>205</v>
      </c>
      <c r="E1115" s="66">
        <v>0.0</v>
      </c>
      <c r="F1115" s="66">
        <v>0.2115</v>
      </c>
      <c r="G1115" s="66">
        <v>0.0945</v>
      </c>
      <c r="I1115" s="81">
        <f t="shared" si="1"/>
        <v>1.238095238</v>
      </c>
      <c r="J1115" s="81">
        <f t="shared" si="2"/>
        <v>0.4468085106</v>
      </c>
    </row>
    <row r="1116">
      <c r="A1116" s="82">
        <v>44704.0</v>
      </c>
      <c r="B1116" s="66">
        <v>2367.0</v>
      </c>
      <c r="C1116" s="66">
        <v>1.0</v>
      </c>
      <c r="D1116" s="66" t="s">
        <v>204</v>
      </c>
      <c r="E1116" s="66">
        <v>0.0</v>
      </c>
      <c r="F1116" s="66">
        <v>0.0428</v>
      </c>
      <c r="G1116" s="66">
        <v>0.0191</v>
      </c>
      <c r="I1116" s="81">
        <f t="shared" si="1"/>
        <v>1.240837696</v>
      </c>
      <c r="J1116" s="81">
        <f t="shared" si="2"/>
        <v>0.4462616822</v>
      </c>
    </row>
    <row r="1117">
      <c r="A1117" s="82">
        <v>44704.0</v>
      </c>
      <c r="B1117" s="66">
        <v>2367.0</v>
      </c>
      <c r="C1117" s="66">
        <v>1.0</v>
      </c>
      <c r="D1117" s="66" t="s">
        <v>204</v>
      </c>
      <c r="E1117" s="66">
        <v>1.0</v>
      </c>
      <c r="F1117" s="66">
        <v>0.0381</v>
      </c>
      <c r="G1117" s="66">
        <v>0.017</v>
      </c>
      <c r="H1117" s="66" t="s">
        <v>227</v>
      </c>
      <c r="I1117" s="81">
        <f t="shared" si="1"/>
        <v>1.241176471</v>
      </c>
      <c r="J1117" s="81">
        <f t="shared" si="2"/>
        <v>0.4461942257</v>
      </c>
    </row>
    <row r="1118">
      <c r="A1118" s="82">
        <v>44704.0</v>
      </c>
      <c r="B1118" s="66">
        <v>2367.0</v>
      </c>
      <c r="C1118" s="66">
        <v>3.0</v>
      </c>
      <c r="D1118" s="66" t="s">
        <v>205</v>
      </c>
      <c r="E1118" s="66">
        <v>0.0</v>
      </c>
      <c r="F1118" s="66">
        <v>0.2916</v>
      </c>
      <c r="G1118" s="66">
        <v>0.13</v>
      </c>
      <c r="I1118" s="81">
        <f t="shared" si="1"/>
        <v>1.243076923</v>
      </c>
      <c r="J1118" s="81">
        <f t="shared" si="2"/>
        <v>0.4458161866</v>
      </c>
    </row>
    <row r="1119">
      <c r="A1119" s="82">
        <v>44704.0</v>
      </c>
      <c r="B1119" s="66">
        <v>2367.0</v>
      </c>
      <c r="C1119" s="66">
        <v>3.0</v>
      </c>
      <c r="D1119" s="66" t="s">
        <v>204</v>
      </c>
      <c r="E1119" s="66">
        <v>0.0</v>
      </c>
      <c r="F1119" s="66">
        <v>0.1581</v>
      </c>
      <c r="G1119" s="66">
        <v>0.0704</v>
      </c>
      <c r="I1119" s="81">
        <f t="shared" si="1"/>
        <v>1.245738636</v>
      </c>
      <c r="J1119" s="81">
        <f t="shared" si="2"/>
        <v>0.4452877925</v>
      </c>
    </row>
    <row r="1120">
      <c r="A1120" s="82">
        <v>44704.0</v>
      </c>
      <c r="B1120" s="66">
        <v>2367.0</v>
      </c>
      <c r="C1120" s="66">
        <v>3.0</v>
      </c>
      <c r="D1120" s="66" t="s">
        <v>204</v>
      </c>
      <c r="E1120" s="66">
        <v>1.0</v>
      </c>
      <c r="F1120" s="66">
        <v>0.265</v>
      </c>
      <c r="G1120" s="66">
        <v>0.118</v>
      </c>
      <c r="H1120" s="66" t="s">
        <v>227</v>
      </c>
      <c r="I1120" s="81">
        <f t="shared" si="1"/>
        <v>1.245762712</v>
      </c>
      <c r="J1120" s="81">
        <f t="shared" si="2"/>
        <v>0.4452830189</v>
      </c>
    </row>
    <row r="1121">
      <c r="A1121" s="82">
        <v>44704.0</v>
      </c>
      <c r="B1121" s="66">
        <v>2376.0</v>
      </c>
      <c r="C1121" s="66">
        <v>1.0</v>
      </c>
      <c r="D1121" s="66" t="s">
        <v>205</v>
      </c>
      <c r="E1121" s="66">
        <v>1.0</v>
      </c>
      <c r="F1121" s="66">
        <v>2.96</v>
      </c>
      <c r="G1121" s="66">
        <v>1.318</v>
      </c>
      <c r="H1121" s="66" t="s">
        <v>228</v>
      </c>
      <c r="I1121" s="81">
        <f t="shared" si="1"/>
        <v>1.245827011</v>
      </c>
      <c r="J1121" s="81">
        <f t="shared" si="2"/>
        <v>0.4452702703</v>
      </c>
    </row>
    <row r="1122">
      <c r="A1122" s="82">
        <v>44704.0</v>
      </c>
      <c r="B1122" s="66">
        <v>2376.0</v>
      </c>
      <c r="C1122" s="66">
        <v>1.0</v>
      </c>
      <c r="D1122" s="66" t="s">
        <v>204</v>
      </c>
      <c r="E1122" s="66">
        <v>1.0</v>
      </c>
      <c r="F1122" s="66">
        <v>0.0784</v>
      </c>
      <c r="G1122" s="66">
        <v>0.0349</v>
      </c>
      <c r="I1122" s="81">
        <f t="shared" si="1"/>
        <v>1.246418338</v>
      </c>
      <c r="J1122" s="81">
        <f t="shared" si="2"/>
        <v>0.4451530612</v>
      </c>
    </row>
    <row r="1123">
      <c r="A1123" s="82">
        <v>44704.0</v>
      </c>
      <c r="B1123" s="66">
        <v>2376.0</v>
      </c>
      <c r="C1123" s="66">
        <v>2.0</v>
      </c>
      <c r="D1123" s="66" t="s">
        <v>205</v>
      </c>
      <c r="E1123" s="66">
        <v>1.0</v>
      </c>
      <c r="F1123" s="66">
        <v>0.0629</v>
      </c>
      <c r="G1123" s="66">
        <v>0.028</v>
      </c>
      <c r="H1123" s="66" t="s">
        <v>227</v>
      </c>
      <c r="I1123" s="81">
        <f t="shared" si="1"/>
        <v>1.246428571</v>
      </c>
      <c r="J1123" s="81">
        <f t="shared" si="2"/>
        <v>0.4451510334</v>
      </c>
    </row>
    <row r="1124">
      <c r="A1124" s="82">
        <v>44704.0</v>
      </c>
      <c r="B1124" s="66">
        <v>2376.0</v>
      </c>
      <c r="C1124" s="66">
        <v>2.0</v>
      </c>
      <c r="D1124" s="66" t="s">
        <v>204</v>
      </c>
      <c r="E1124" s="66">
        <v>1.0</v>
      </c>
      <c r="F1124" s="66">
        <v>0.0764</v>
      </c>
      <c r="G1124" s="66">
        <v>0.034</v>
      </c>
      <c r="I1124" s="81">
        <f t="shared" si="1"/>
        <v>1.247058824</v>
      </c>
      <c r="J1124" s="81">
        <f t="shared" si="2"/>
        <v>0.445026178</v>
      </c>
    </row>
    <row r="1125">
      <c r="A1125" s="82">
        <v>44704.0</v>
      </c>
      <c r="B1125" s="66">
        <v>2376.0</v>
      </c>
      <c r="C1125" s="66">
        <v>3.0</v>
      </c>
      <c r="D1125" s="66" t="s">
        <v>205</v>
      </c>
      <c r="E1125" s="66">
        <v>1.0</v>
      </c>
      <c r="F1125" s="66">
        <v>0.4339</v>
      </c>
      <c r="G1125" s="66">
        <v>0.193</v>
      </c>
      <c r="H1125" s="66" t="s">
        <v>226</v>
      </c>
      <c r="I1125" s="81">
        <f t="shared" si="1"/>
        <v>1.248186528</v>
      </c>
      <c r="J1125" s="81">
        <f t="shared" si="2"/>
        <v>0.44480295</v>
      </c>
    </row>
    <row r="1126">
      <c r="A1126" s="82">
        <v>44704.0</v>
      </c>
      <c r="B1126" s="66">
        <v>2376.0</v>
      </c>
      <c r="C1126" s="66">
        <v>3.0</v>
      </c>
      <c r="D1126" s="66" t="s">
        <v>204</v>
      </c>
      <c r="E1126" s="66">
        <v>1.0</v>
      </c>
      <c r="F1126" s="66">
        <v>0.144</v>
      </c>
      <c r="G1126" s="66">
        <v>0.064</v>
      </c>
      <c r="H1126" s="66" t="s">
        <v>227</v>
      </c>
      <c r="I1126" s="81">
        <f t="shared" si="1"/>
        <v>1.25</v>
      </c>
      <c r="J1126" s="81">
        <f t="shared" si="2"/>
        <v>0.4444444444</v>
      </c>
    </row>
    <row r="1127">
      <c r="A1127" s="82">
        <v>44704.0</v>
      </c>
      <c r="B1127" s="66">
        <v>2377.0</v>
      </c>
      <c r="C1127" s="66">
        <v>1.0</v>
      </c>
      <c r="D1127" s="66" t="s">
        <v>205</v>
      </c>
      <c r="E1127" s="66">
        <v>1.0</v>
      </c>
      <c r="F1127" s="66">
        <v>0.6433</v>
      </c>
      <c r="G1127" s="66">
        <v>0.2857</v>
      </c>
      <c r="H1127" s="66" t="s">
        <v>226</v>
      </c>
      <c r="I1127" s="81">
        <f t="shared" si="1"/>
        <v>1.251662583</v>
      </c>
      <c r="J1127" s="81">
        <f t="shared" si="2"/>
        <v>0.4441162755</v>
      </c>
    </row>
    <row r="1128">
      <c r="A1128" s="82">
        <v>44704.0</v>
      </c>
      <c r="B1128" s="66">
        <v>2377.0</v>
      </c>
      <c r="C1128" s="66">
        <v>1.0</v>
      </c>
      <c r="D1128" s="66" t="s">
        <v>204</v>
      </c>
      <c r="E1128" s="66">
        <v>1.0</v>
      </c>
      <c r="F1128" s="66">
        <v>0.984</v>
      </c>
      <c r="G1128" s="66">
        <v>0.437</v>
      </c>
      <c r="H1128" s="66" t="s">
        <v>229</v>
      </c>
      <c r="I1128" s="81">
        <f t="shared" si="1"/>
        <v>1.251716247</v>
      </c>
      <c r="J1128" s="81">
        <f t="shared" si="2"/>
        <v>0.4441056911</v>
      </c>
    </row>
    <row r="1129">
      <c r="A1129" s="82">
        <v>44704.0</v>
      </c>
      <c r="B1129" s="66">
        <v>2377.0</v>
      </c>
      <c r="C1129" s="66">
        <v>2.0</v>
      </c>
      <c r="D1129" s="66" t="s">
        <v>205</v>
      </c>
      <c r="E1129" s="66">
        <v>1.0</v>
      </c>
      <c r="F1129" s="66">
        <v>0.7003</v>
      </c>
      <c r="G1129" s="66">
        <v>0.3109</v>
      </c>
      <c r="H1129" s="66" t="s">
        <v>226</v>
      </c>
      <c r="I1129" s="81">
        <f t="shared" si="1"/>
        <v>1.252492763</v>
      </c>
      <c r="J1129" s="81">
        <f t="shared" si="2"/>
        <v>0.4439525917</v>
      </c>
    </row>
    <row r="1130">
      <c r="A1130" s="82">
        <v>44704.0</v>
      </c>
      <c r="B1130" s="66">
        <v>2377.0</v>
      </c>
      <c r="C1130" s="66">
        <v>2.0</v>
      </c>
      <c r="D1130" s="66" t="s">
        <v>204</v>
      </c>
      <c r="E1130" s="66">
        <v>0.0</v>
      </c>
      <c r="F1130" s="66">
        <v>0.2343</v>
      </c>
      <c r="G1130" s="66">
        <v>0.104</v>
      </c>
      <c r="I1130" s="81">
        <f t="shared" si="1"/>
        <v>1.252884615</v>
      </c>
      <c r="J1130" s="81">
        <f t="shared" si="2"/>
        <v>0.4438753735</v>
      </c>
    </row>
    <row r="1131">
      <c r="A1131" s="82">
        <v>44704.0</v>
      </c>
      <c r="B1131" s="66">
        <v>2377.0</v>
      </c>
      <c r="C1131" s="66">
        <v>2.0</v>
      </c>
      <c r="D1131" s="66" t="s">
        <v>204</v>
      </c>
      <c r="E1131" s="66">
        <v>1.0</v>
      </c>
      <c r="F1131" s="66">
        <v>0.0471</v>
      </c>
      <c r="G1131" s="66">
        <v>0.0209</v>
      </c>
      <c r="I1131" s="81">
        <f t="shared" si="1"/>
        <v>1.253588517</v>
      </c>
      <c r="J1131" s="81">
        <f t="shared" si="2"/>
        <v>0.4437367304</v>
      </c>
    </row>
    <row r="1132">
      <c r="A1132" s="82">
        <v>44704.0</v>
      </c>
      <c r="B1132" s="66">
        <v>2377.0</v>
      </c>
      <c r="C1132" s="66">
        <v>3.0</v>
      </c>
      <c r="D1132" s="66" t="s">
        <v>205</v>
      </c>
      <c r="E1132" s="66">
        <v>1.0</v>
      </c>
      <c r="F1132" s="66">
        <v>0.5889</v>
      </c>
      <c r="G1132" s="66">
        <v>0.2613</v>
      </c>
      <c r="H1132" s="66" t="s">
        <v>226</v>
      </c>
      <c r="I1132" s="81">
        <f t="shared" si="1"/>
        <v>1.253731343</v>
      </c>
      <c r="J1132" s="81">
        <f t="shared" si="2"/>
        <v>0.4437086093</v>
      </c>
    </row>
    <row r="1133">
      <c r="A1133" s="82">
        <v>44704.0</v>
      </c>
      <c r="B1133" s="66">
        <v>2377.0</v>
      </c>
      <c r="C1133" s="66">
        <v>3.0</v>
      </c>
      <c r="D1133" s="66" t="s">
        <v>204</v>
      </c>
      <c r="E1133" s="66">
        <v>1.0</v>
      </c>
      <c r="F1133" s="66">
        <v>0.2529</v>
      </c>
      <c r="G1133" s="66">
        <v>0.1121</v>
      </c>
      <c r="H1133" s="66" t="s">
        <v>226</v>
      </c>
      <c r="I1133" s="81">
        <f t="shared" si="1"/>
        <v>1.256021409</v>
      </c>
      <c r="J1133" s="81">
        <f t="shared" si="2"/>
        <v>0.4432582048</v>
      </c>
    </row>
    <row r="1134">
      <c r="A1134" s="82">
        <v>44704.0</v>
      </c>
      <c r="B1134" s="66">
        <v>2380.0</v>
      </c>
      <c r="C1134" s="66">
        <v>3.0</v>
      </c>
      <c r="D1134" s="66" t="s">
        <v>204</v>
      </c>
      <c r="E1134" s="66">
        <v>0.0</v>
      </c>
      <c r="F1134" s="66">
        <v>0.1424</v>
      </c>
      <c r="G1134" s="66">
        <v>0.0631</v>
      </c>
      <c r="H1134" s="66" t="s">
        <v>226</v>
      </c>
      <c r="I1134" s="81">
        <f t="shared" si="1"/>
        <v>1.256735341</v>
      </c>
      <c r="J1134" s="81">
        <f t="shared" si="2"/>
        <v>0.4431179775</v>
      </c>
    </row>
    <row r="1135">
      <c r="A1135" s="82">
        <v>44704.0</v>
      </c>
      <c r="B1135" s="66">
        <v>2384.0</v>
      </c>
      <c r="C1135" s="66">
        <v>1.0</v>
      </c>
      <c r="D1135" s="66" t="s">
        <v>205</v>
      </c>
      <c r="E1135" s="66">
        <v>0.0</v>
      </c>
      <c r="F1135" s="66">
        <v>0.0903</v>
      </c>
      <c r="G1135" s="66">
        <v>0.04</v>
      </c>
      <c r="H1135" s="66" t="s">
        <v>226</v>
      </c>
      <c r="I1135" s="81">
        <f t="shared" si="1"/>
        <v>1.2575</v>
      </c>
      <c r="J1135" s="81">
        <f t="shared" si="2"/>
        <v>0.4429678848</v>
      </c>
    </row>
    <row r="1136">
      <c r="A1136" s="82">
        <v>44704.0</v>
      </c>
      <c r="B1136" s="66">
        <v>2384.0</v>
      </c>
      <c r="C1136" s="66">
        <v>1.0</v>
      </c>
      <c r="D1136" s="66" t="s">
        <v>204</v>
      </c>
      <c r="E1136" s="66">
        <v>0.0</v>
      </c>
      <c r="F1136" s="66">
        <v>0.0587</v>
      </c>
      <c r="G1136" s="66">
        <v>0.026</v>
      </c>
      <c r="H1136" s="66" t="s">
        <v>227</v>
      </c>
      <c r="I1136" s="81">
        <f t="shared" si="1"/>
        <v>1.257692308</v>
      </c>
      <c r="J1136" s="81">
        <f t="shared" si="2"/>
        <v>0.4429301533</v>
      </c>
    </row>
    <row r="1137">
      <c r="A1137" s="82">
        <v>44704.0</v>
      </c>
      <c r="B1137" s="66">
        <v>2384.0</v>
      </c>
      <c r="C1137" s="66">
        <v>1.0</v>
      </c>
      <c r="D1137" s="66" t="s">
        <v>204</v>
      </c>
      <c r="E1137" s="66">
        <v>1.0</v>
      </c>
      <c r="F1137" s="66">
        <v>0.1378</v>
      </c>
      <c r="G1137" s="66">
        <v>0.061</v>
      </c>
      <c r="H1137" s="66" t="s">
        <v>227</v>
      </c>
      <c r="I1137" s="81">
        <f t="shared" si="1"/>
        <v>1.259016393</v>
      </c>
      <c r="J1137" s="81">
        <f t="shared" si="2"/>
        <v>0.442670537</v>
      </c>
    </row>
    <row r="1138">
      <c r="A1138" s="82">
        <v>44704.0</v>
      </c>
      <c r="B1138" s="66">
        <v>2384.0</v>
      </c>
      <c r="C1138" s="66">
        <v>2.0</v>
      </c>
      <c r="D1138" s="66" t="s">
        <v>205</v>
      </c>
      <c r="E1138" s="66">
        <v>0.0</v>
      </c>
      <c r="F1138" s="66">
        <v>0.244</v>
      </c>
      <c r="G1138" s="66">
        <v>0.108</v>
      </c>
      <c r="H1138" s="66" t="s">
        <v>227</v>
      </c>
      <c r="I1138" s="81">
        <f t="shared" si="1"/>
        <v>1.259259259</v>
      </c>
      <c r="J1138" s="81">
        <f t="shared" si="2"/>
        <v>0.4426229508</v>
      </c>
    </row>
    <row r="1139">
      <c r="A1139" s="82">
        <v>44704.0</v>
      </c>
      <c r="B1139" s="66">
        <v>2384.0</v>
      </c>
      <c r="C1139" s="66">
        <v>2.0</v>
      </c>
      <c r="D1139" s="66" t="s">
        <v>204</v>
      </c>
      <c r="E1139" s="66">
        <v>0.0</v>
      </c>
      <c r="F1139" s="66">
        <v>0.221</v>
      </c>
      <c r="G1139" s="66">
        <v>0.0978</v>
      </c>
      <c r="I1139" s="81">
        <f t="shared" si="1"/>
        <v>1.259713701</v>
      </c>
      <c r="J1139" s="81">
        <f t="shared" si="2"/>
        <v>0.4425339367</v>
      </c>
    </row>
    <row r="1140">
      <c r="A1140" s="82">
        <v>44704.0</v>
      </c>
      <c r="B1140" s="66">
        <v>2384.0</v>
      </c>
      <c r="C1140" s="66">
        <v>2.0</v>
      </c>
      <c r="D1140" s="66" t="s">
        <v>204</v>
      </c>
      <c r="E1140" s="66">
        <v>1.0</v>
      </c>
      <c r="F1140" s="66">
        <v>0.0656</v>
      </c>
      <c r="G1140" s="66">
        <v>0.029</v>
      </c>
      <c r="I1140" s="81">
        <f t="shared" si="1"/>
        <v>1.262068966</v>
      </c>
      <c r="J1140" s="81">
        <f t="shared" si="2"/>
        <v>0.4420731707</v>
      </c>
    </row>
    <row r="1141">
      <c r="A1141" s="82">
        <v>44704.0</v>
      </c>
      <c r="B1141" s="66">
        <v>2384.0</v>
      </c>
      <c r="C1141" s="66">
        <v>3.0</v>
      </c>
      <c r="D1141" s="66" t="s">
        <v>205</v>
      </c>
      <c r="E1141" s="66">
        <v>0.0</v>
      </c>
      <c r="F1141" s="66">
        <v>0.0824</v>
      </c>
      <c r="G1141" s="66">
        <v>0.0364</v>
      </c>
      <c r="I1141" s="81">
        <f t="shared" si="1"/>
        <v>1.263736264</v>
      </c>
      <c r="J1141" s="81">
        <f t="shared" si="2"/>
        <v>0.4417475728</v>
      </c>
    </row>
    <row r="1142">
      <c r="A1142" s="82">
        <v>44704.0</v>
      </c>
      <c r="B1142" s="66">
        <v>2384.0</v>
      </c>
      <c r="C1142" s="66">
        <v>3.0</v>
      </c>
      <c r="D1142" s="66" t="s">
        <v>204</v>
      </c>
      <c r="E1142" s="66">
        <v>0.0</v>
      </c>
      <c r="F1142" s="66">
        <v>0.1633</v>
      </c>
      <c r="G1142" s="66">
        <v>0.0721</v>
      </c>
      <c r="H1142" s="66" t="s">
        <v>226</v>
      </c>
      <c r="I1142" s="81">
        <f t="shared" si="1"/>
        <v>1.264909847</v>
      </c>
      <c r="J1142" s="81">
        <f t="shared" si="2"/>
        <v>0.4415186773</v>
      </c>
    </row>
    <row r="1143">
      <c r="A1143" s="82">
        <v>44704.0</v>
      </c>
      <c r="B1143" s="66">
        <v>2384.0</v>
      </c>
      <c r="C1143" s="66">
        <v>3.0</v>
      </c>
      <c r="D1143" s="66" t="s">
        <v>204</v>
      </c>
      <c r="E1143" s="66">
        <v>1.0</v>
      </c>
      <c r="F1143" s="66">
        <v>1.1533</v>
      </c>
      <c r="G1143" s="66">
        <v>0.5086</v>
      </c>
      <c r="I1143" s="81">
        <f t="shared" si="1"/>
        <v>1.267597326</v>
      </c>
      <c r="J1143" s="81">
        <f t="shared" si="2"/>
        <v>0.4409954045</v>
      </c>
    </row>
    <row r="1144">
      <c r="A1144" s="82">
        <v>44705.0</v>
      </c>
      <c r="B1144" s="66">
        <v>2022.0</v>
      </c>
      <c r="C1144" s="66">
        <v>1.0</v>
      </c>
      <c r="D1144" s="66" t="s">
        <v>204</v>
      </c>
      <c r="E1144" s="66">
        <v>1.0</v>
      </c>
      <c r="F1144" s="66">
        <v>0.4012</v>
      </c>
      <c r="G1144" s="66">
        <v>0.1769</v>
      </c>
      <c r="I1144" s="81">
        <f t="shared" si="1"/>
        <v>1.267947993</v>
      </c>
      <c r="J1144" s="81">
        <f t="shared" si="2"/>
        <v>0.4409272183</v>
      </c>
    </row>
    <row r="1145">
      <c r="A1145" s="82">
        <v>44706.0</v>
      </c>
      <c r="B1145" s="66">
        <v>2009.0</v>
      </c>
      <c r="C1145" s="66">
        <v>1.0</v>
      </c>
      <c r="D1145" s="66" t="s">
        <v>205</v>
      </c>
      <c r="E1145" s="66">
        <v>0.0</v>
      </c>
      <c r="F1145" s="66">
        <v>0.227</v>
      </c>
      <c r="G1145" s="66">
        <v>0.1</v>
      </c>
      <c r="H1145" s="66" t="s">
        <v>227</v>
      </c>
      <c r="I1145" s="81">
        <f t="shared" si="1"/>
        <v>1.27</v>
      </c>
      <c r="J1145" s="81">
        <f t="shared" si="2"/>
        <v>0.4405286344</v>
      </c>
    </row>
    <row r="1146">
      <c r="A1146" s="82">
        <v>44706.0</v>
      </c>
      <c r="B1146" s="66">
        <v>2009.0</v>
      </c>
      <c r="C1146" s="66">
        <v>1.0</v>
      </c>
      <c r="D1146" s="66" t="s">
        <v>204</v>
      </c>
      <c r="E1146" s="66">
        <v>0.0</v>
      </c>
      <c r="F1146" s="66">
        <v>1.0511</v>
      </c>
      <c r="G1146" s="66">
        <v>0.463</v>
      </c>
      <c r="H1146" s="66" t="s">
        <v>226</v>
      </c>
      <c r="I1146" s="81">
        <f t="shared" si="1"/>
        <v>1.270194384</v>
      </c>
      <c r="J1146" s="81">
        <f t="shared" si="2"/>
        <v>0.4404909143</v>
      </c>
    </row>
    <row r="1147">
      <c r="A1147" s="82">
        <v>44706.0</v>
      </c>
      <c r="B1147" s="66">
        <v>2009.0</v>
      </c>
      <c r="C1147" s="66">
        <v>1.0</v>
      </c>
      <c r="D1147" s="66" t="s">
        <v>204</v>
      </c>
      <c r="E1147" s="66">
        <v>1.0</v>
      </c>
      <c r="F1147" s="66">
        <v>0.0722</v>
      </c>
      <c r="G1147" s="66">
        <v>0.0318</v>
      </c>
      <c r="I1147" s="81">
        <f t="shared" si="1"/>
        <v>1.270440252</v>
      </c>
      <c r="J1147" s="81">
        <f t="shared" si="2"/>
        <v>0.4404432133</v>
      </c>
    </row>
    <row r="1148">
      <c r="A1148" s="82">
        <v>44706.0</v>
      </c>
      <c r="B1148" s="66">
        <v>2009.0</v>
      </c>
      <c r="C1148" s="66">
        <v>2.0</v>
      </c>
      <c r="D1148" s="66" t="s">
        <v>205</v>
      </c>
      <c r="E1148" s="66">
        <v>0.0</v>
      </c>
      <c r="F1148" s="66">
        <v>0.277</v>
      </c>
      <c r="G1148" s="66">
        <v>0.122</v>
      </c>
      <c r="H1148" s="66" t="s">
        <v>229</v>
      </c>
      <c r="I1148" s="81">
        <f t="shared" si="1"/>
        <v>1.270491803</v>
      </c>
      <c r="J1148" s="81">
        <f t="shared" si="2"/>
        <v>0.440433213</v>
      </c>
    </row>
    <row r="1149">
      <c r="A1149" s="82">
        <v>44706.0</v>
      </c>
      <c r="B1149" s="66">
        <v>2009.0</v>
      </c>
      <c r="C1149" s="66">
        <v>2.0</v>
      </c>
      <c r="D1149" s="66" t="s">
        <v>204</v>
      </c>
      <c r="E1149" s="66">
        <v>0.0</v>
      </c>
      <c r="F1149" s="66">
        <v>0.4561</v>
      </c>
      <c r="G1149" s="66">
        <v>0.2008</v>
      </c>
      <c r="H1149" s="66" t="s">
        <v>226</v>
      </c>
      <c r="I1149" s="81">
        <f t="shared" si="1"/>
        <v>1.271414343</v>
      </c>
      <c r="J1149" s="81">
        <f t="shared" si="2"/>
        <v>0.4402543302</v>
      </c>
    </row>
    <row r="1150">
      <c r="A1150" s="82">
        <v>44706.0</v>
      </c>
      <c r="B1150" s="66">
        <v>2009.0</v>
      </c>
      <c r="C1150" s="66">
        <v>2.0</v>
      </c>
      <c r="D1150" s="66" t="s">
        <v>204</v>
      </c>
      <c r="E1150" s="66">
        <v>1.0</v>
      </c>
      <c r="F1150" s="66">
        <v>0.1091</v>
      </c>
      <c r="G1150" s="66">
        <v>0.048</v>
      </c>
      <c r="H1150" s="66" t="s">
        <v>227</v>
      </c>
      <c r="I1150" s="81">
        <f t="shared" si="1"/>
        <v>1.272916667</v>
      </c>
      <c r="J1150" s="81">
        <f t="shared" si="2"/>
        <v>0.4399633364</v>
      </c>
    </row>
    <row r="1151">
      <c r="A1151" s="82">
        <v>44706.0</v>
      </c>
      <c r="B1151" s="66">
        <v>2009.0</v>
      </c>
      <c r="C1151" s="66">
        <v>3.0</v>
      </c>
      <c r="D1151" s="66" t="s">
        <v>205</v>
      </c>
      <c r="E1151" s="66">
        <v>0.0</v>
      </c>
      <c r="F1151" s="66">
        <v>1.2668</v>
      </c>
      <c r="G1151" s="66">
        <v>0.557</v>
      </c>
      <c r="H1151" s="66" t="s">
        <v>226</v>
      </c>
      <c r="I1151" s="81">
        <f t="shared" si="1"/>
        <v>1.27432675</v>
      </c>
      <c r="J1151" s="81">
        <f t="shared" si="2"/>
        <v>0.4396905589</v>
      </c>
    </row>
    <row r="1152">
      <c r="A1152" s="82">
        <v>44706.0</v>
      </c>
      <c r="B1152" s="66">
        <v>2009.0</v>
      </c>
      <c r="C1152" s="66">
        <v>3.0</v>
      </c>
      <c r="D1152" s="66" t="s">
        <v>204</v>
      </c>
      <c r="E1152" s="66">
        <v>0.0</v>
      </c>
      <c r="F1152" s="66">
        <v>0.978</v>
      </c>
      <c r="G1152" s="66">
        <v>0.43</v>
      </c>
      <c r="H1152" s="66" t="s">
        <v>229</v>
      </c>
      <c r="I1152" s="81">
        <f t="shared" si="1"/>
        <v>1.274418605</v>
      </c>
      <c r="J1152" s="81">
        <f t="shared" si="2"/>
        <v>0.4396728016</v>
      </c>
    </row>
    <row r="1153">
      <c r="A1153" s="82">
        <v>44706.0</v>
      </c>
      <c r="B1153" s="66">
        <v>2009.0</v>
      </c>
      <c r="C1153" s="66">
        <v>3.0</v>
      </c>
      <c r="D1153" s="66" t="s">
        <v>204</v>
      </c>
      <c r="E1153" s="66">
        <v>1.0</v>
      </c>
      <c r="F1153" s="66">
        <v>1.1874</v>
      </c>
      <c r="G1153" s="66">
        <v>0.522</v>
      </c>
      <c r="H1153" s="66" t="s">
        <v>226</v>
      </c>
      <c r="I1153" s="81">
        <f t="shared" si="1"/>
        <v>1.274712644</v>
      </c>
      <c r="J1153" s="81">
        <f t="shared" si="2"/>
        <v>0.4396159677</v>
      </c>
    </row>
    <row r="1154">
      <c r="A1154" s="82">
        <v>44706.0</v>
      </c>
      <c r="B1154" s="66">
        <v>2010.0</v>
      </c>
      <c r="C1154" s="66">
        <v>1.0</v>
      </c>
      <c r="D1154" s="66" t="s">
        <v>205</v>
      </c>
      <c r="E1154" s="66">
        <v>0.0</v>
      </c>
      <c r="F1154" s="66">
        <v>0.0453</v>
      </c>
      <c r="G1154" s="66">
        <v>0.0199</v>
      </c>
      <c r="H1154" s="66" t="s">
        <v>227</v>
      </c>
      <c r="I1154" s="81">
        <f t="shared" si="1"/>
        <v>1.27638191</v>
      </c>
      <c r="J1154" s="81">
        <f t="shared" si="2"/>
        <v>0.4392935982</v>
      </c>
    </row>
    <row r="1155">
      <c r="A1155" s="82">
        <v>44706.0</v>
      </c>
      <c r="B1155" s="66">
        <v>2010.0</v>
      </c>
      <c r="C1155" s="66">
        <v>1.0</v>
      </c>
      <c r="D1155" s="66" t="s">
        <v>204</v>
      </c>
      <c r="E1155" s="66">
        <v>0.0</v>
      </c>
      <c r="F1155" s="66">
        <v>0.2028</v>
      </c>
      <c r="G1155" s="66">
        <v>0.089</v>
      </c>
      <c r="H1155" s="66" t="s">
        <v>226</v>
      </c>
      <c r="I1155" s="81">
        <f t="shared" si="1"/>
        <v>1.278651685</v>
      </c>
      <c r="J1155" s="81">
        <f t="shared" si="2"/>
        <v>0.4388560158</v>
      </c>
    </row>
    <row r="1156">
      <c r="A1156" s="82">
        <v>44706.0</v>
      </c>
      <c r="B1156" s="66">
        <v>2010.0</v>
      </c>
      <c r="C1156" s="66">
        <v>1.0</v>
      </c>
      <c r="D1156" s="66" t="s">
        <v>204</v>
      </c>
      <c r="E1156" s="66">
        <v>1.0</v>
      </c>
      <c r="F1156" s="66">
        <v>0.093</v>
      </c>
      <c r="G1156" s="66">
        <v>0.0408</v>
      </c>
      <c r="H1156" s="66" t="s">
        <v>226</v>
      </c>
      <c r="I1156" s="81">
        <f t="shared" si="1"/>
        <v>1.279411765</v>
      </c>
      <c r="J1156" s="81">
        <f t="shared" si="2"/>
        <v>0.4387096774</v>
      </c>
    </row>
    <row r="1157">
      <c r="A1157" s="82">
        <v>44706.0</v>
      </c>
      <c r="B1157" s="66">
        <v>2010.0</v>
      </c>
      <c r="C1157" s="66">
        <v>2.0</v>
      </c>
      <c r="D1157" s="66" t="s">
        <v>205</v>
      </c>
      <c r="E1157" s="66">
        <v>0.0</v>
      </c>
      <c r="F1157" s="66">
        <v>0.114</v>
      </c>
      <c r="G1157" s="66">
        <v>0.05</v>
      </c>
      <c r="H1157" s="66" t="s">
        <v>226</v>
      </c>
      <c r="I1157" s="81">
        <f t="shared" si="1"/>
        <v>1.28</v>
      </c>
      <c r="J1157" s="81">
        <f t="shared" si="2"/>
        <v>0.4385964912</v>
      </c>
    </row>
    <row r="1158">
      <c r="A1158" s="82">
        <v>44706.0</v>
      </c>
      <c r="B1158" s="66">
        <v>2010.0</v>
      </c>
      <c r="C1158" s="66">
        <v>2.0</v>
      </c>
      <c r="D1158" s="66" t="s">
        <v>204</v>
      </c>
      <c r="E1158" s="66">
        <v>0.0</v>
      </c>
      <c r="F1158" s="66">
        <v>0.057</v>
      </c>
      <c r="G1158" s="66">
        <v>0.025</v>
      </c>
      <c r="H1158" s="66" t="s">
        <v>227</v>
      </c>
      <c r="I1158" s="81">
        <f t="shared" si="1"/>
        <v>1.28</v>
      </c>
      <c r="J1158" s="81">
        <f t="shared" si="2"/>
        <v>0.4385964912</v>
      </c>
    </row>
    <row r="1159">
      <c r="A1159" s="82">
        <v>44706.0</v>
      </c>
      <c r="B1159" s="66">
        <v>2010.0</v>
      </c>
      <c r="C1159" s="66">
        <v>2.0</v>
      </c>
      <c r="D1159" s="66" t="s">
        <v>204</v>
      </c>
      <c r="E1159" s="66">
        <v>1.0</v>
      </c>
      <c r="F1159" s="66">
        <v>0.1551</v>
      </c>
      <c r="G1159" s="66">
        <v>0.068</v>
      </c>
      <c r="H1159" s="66" t="s">
        <v>226</v>
      </c>
      <c r="I1159" s="81">
        <f t="shared" si="1"/>
        <v>1.280882353</v>
      </c>
      <c r="J1159" s="81">
        <f t="shared" si="2"/>
        <v>0.4384268214</v>
      </c>
    </row>
    <row r="1160">
      <c r="A1160" s="82">
        <v>44706.0</v>
      </c>
      <c r="B1160" s="66">
        <v>2010.0</v>
      </c>
      <c r="C1160" s="66">
        <v>3.0</v>
      </c>
      <c r="D1160" s="66" t="s">
        <v>205</v>
      </c>
      <c r="E1160" s="66">
        <v>0.0</v>
      </c>
      <c r="F1160" s="66">
        <v>2.656</v>
      </c>
      <c r="G1160" s="66">
        <v>1.164</v>
      </c>
      <c r="H1160" s="66" t="s">
        <v>228</v>
      </c>
      <c r="I1160" s="81">
        <f t="shared" si="1"/>
        <v>1.281786942</v>
      </c>
      <c r="J1160" s="81">
        <f t="shared" si="2"/>
        <v>0.438253012</v>
      </c>
    </row>
    <row r="1161">
      <c r="A1161" s="82">
        <v>44706.0</v>
      </c>
      <c r="B1161" s="66">
        <v>2010.0</v>
      </c>
      <c r="C1161" s="66">
        <v>3.0</v>
      </c>
      <c r="D1161" s="66" t="s">
        <v>204</v>
      </c>
      <c r="E1161" s="66">
        <v>0.0</v>
      </c>
      <c r="F1161" s="66">
        <v>0.2168</v>
      </c>
      <c r="G1161" s="66">
        <v>0.095</v>
      </c>
      <c r="H1161" s="66" t="s">
        <v>226</v>
      </c>
      <c r="I1161" s="81">
        <f t="shared" si="1"/>
        <v>1.282105263</v>
      </c>
      <c r="J1161" s="81">
        <f t="shared" si="2"/>
        <v>0.4381918819</v>
      </c>
    </row>
    <row r="1162">
      <c r="A1162" s="82">
        <v>44706.0</v>
      </c>
      <c r="B1162" s="66">
        <v>2010.0</v>
      </c>
      <c r="C1162" s="66">
        <v>3.0</v>
      </c>
      <c r="D1162" s="66" t="s">
        <v>204</v>
      </c>
      <c r="E1162" s="66">
        <v>1.0</v>
      </c>
      <c r="F1162" s="66">
        <v>0.2095</v>
      </c>
      <c r="G1162" s="66">
        <v>0.0918</v>
      </c>
      <c r="H1162" s="66" t="s">
        <v>226</v>
      </c>
      <c r="I1162" s="81">
        <f t="shared" si="1"/>
        <v>1.282135076</v>
      </c>
      <c r="J1162" s="81">
        <f t="shared" si="2"/>
        <v>0.4381861575</v>
      </c>
    </row>
    <row r="1163">
      <c r="A1163" s="82">
        <v>44706.0</v>
      </c>
      <c r="B1163" s="66">
        <v>2011.0</v>
      </c>
      <c r="C1163" s="66">
        <v>1.0</v>
      </c>
      <c r="D1163" s="66" t="s">
        <v>205</v>
      </c>
      <c r="E1163" s="66">
        <v>0.0</v>
      </c>
      <c r="F1163" s="66">
        <v>0.1027</v>
      </c>
      <c r="G1163" s="66">
        <v>0.045</v>
      </c>
      <c r="H1163" s="66" t="s">
        <v>226</v>
      </c>
      <c r="I1163" s="81">
        <f t="shared" si="1"/>
        <v>1.282222222</v>
      </c>
      <c r="J1163" s="81">
        <f t="shared" si="2"/>
        <v>0.4381694255</v>
      </c>
    </row>
    <row r="1164">
      <c r="A1164" s="82">
        <v>44706.0</v>
      </c>
      <c r="B1164" s="66">
        <v>2011.0</v>
      </c>
      <c r="C1164" s="66">
        <v>1.0</v>
      </c>
      <c r="D1164" s="66" t="s">
        <v>204</v>
      </c>
      <c r="E1164" s="66">
        <v>0.0</v>
      </c>
      <c r="F1164" s="66">
        <v>0.1365</v>
      </c>
      <c r="G1164" s="66">
        <v>0.0598</v>
      </c>
      <c r="I1164" s="81">
        <f t="shared" si="1"/>
        <v>1.282608696</v>
      </c>
      <c r="J1164" s="81">
        <f t="shared" si="2"/>
        <v>0.4380952381</v>
      </c>
    </row>
    <row r="1165">
      <c r="A1165" s="82">
        <v>44706.0</v>
      </c>
      <c r="B1165" s="66">
        <v>2011.0</v>
      </c>
      <c r="C1165" s="66">
        <v>1.0</v>
      </c>
      <c r="D1165" s="66" t="s">
        <v>204</v>
      </c>
      <c r="E1165" s="66">
        <v>1.0</v>
      </c>
      <c r="F1165" s="66">
        <v>0.0662</v>
      </c>
      <c r="G1165" s="66">
        <v>0.029</v>
      </c>
      <c r="H1165" s="66" t="s">
        <v>226</v>
      </c>
      <c r="I1165" s="81">
        <f t="shared" si="1"/>
        <v>1.282758621</v>
      </c>
      <c r="J1165" s="81">
        <f t="shared" si="2"/>
        <v>0.4380664653</v>
      </c>
    </row>
    <row r="1166">
      <c r="A1166" s="82">
        <v>44706.0</v>
      </c>
      <c r="B1166" s="66">
        <v>2011.0</v>
      </c>
      <c r="C1166" s="66">
        <v>2.0</v>
      </c>
      <c r="D1166" s="66" t="s">
        <v>205</v>
      </c>
      <c r="E1166" s="66">
        <v>0.0</v>
      </c>
      <c r="F1166" s="66">
        <v>0.2924</v>
      </c>
      <c r="G1166" s="66">
        <v>0.128</v>
      </c>
      <c r="H1166" s="66" t="s">
        <v>226</v>
      </c>
      <c r="I1166" s="81">
        <f t="shared" si="1"/>
        <v>1.284375</v>
      </c>
      <c r="J1166" s="81">
        <f t="shared" si="2"/>
        <v>0.4377564979</v>
      </c>
    </row>
    <row r="1167">
      <c r="A1167" s="82">
        <v>44706.0</v>
      </c>
      <c r="B1167" s="66">
        <v>2011.0</v>
      </c>
      <c r="C1167" s="66">
        <v>2.0</v>
      </c>
      <c r="D1167" s="66" t="s">
        <v>204</v>
      </c>
      <c r="E1167" s="66">
        <v>0.0</v>
      </c>
      <c r="F1167" s="66">
        <v>0.3585</v>
      </c>
      <c r="G1167" s="66">
        <v>0.1569</v>
      </c>
      <c r="H1167" s="66" t="s">
        <v>226</v>
      </c>
      <c r="I1167" s="81">
        <f t="shared" si="1"/>
        <v>1.284894837</v>
      </c>
      <c r="J1167" s="81">
        <f t="shared" si="2"/>
        <v>0.4376569038</v>
      </c>
    </row>
    <row r="1168">
      <c r="A1168" s="82">
        <v>44706.0</v>
      </c>
      <c r="B1168" s="66">
        <v>2011.0</v>
      </c>
      <c r="C1168" s="66">
        <v>2.0</v>
      </c>
      <c r="D1168" s="66" t="s">
        <v>204</v>
      </c>
      <c r="E1168" s="66">
        <v>1.0</v>
      </c>
      <c r="F1168" s="66">
        <v>0.569</v>
      </c>
      <c r="G1168" s="66">
        <v>0.249</v>
      </c>
      <c r="H1168" s="66" t="s">
        <v>229</v>
      </c>
      <c r="I1168" s="81">
        <f t="shared" si="1"/>
        <v>1.285140562</v>
      </c>
      <c r="J1168" s="81">
        <f t="shared" si="2"/>
        <v>0.4376098418</v>
      </c>
    </row>
    <row r="1169">
      <c r="A1169" s="82">
        <v>44706.0</v>
      </c>
      <c r="B1169" s="66">
        <v>2011.0</v>
      </c>
      <c r="C1169" s="66">
        <v>3.0</v>
      </c>
      <c r="D1169" s="66" t="s">
        <v>205</v>
      </c>
      <c r="E1169" s="66">
        <v>0.0</v>
      </c>
      <c r="F1169" s="66">
        <v>0.0709</v>
      </c>
      <c r="G1169" s="66">
        <v>0.031</v>
      </c>
      <c r="H1169" s="66" t="s">
        <v>227</v>
      </c>
      <c r="I1169" s="81">
        <f t="shared" si="1"/>
        <v>1.287096774</v>
      </c>
      <c r="J1169" s="81">
        <f t="shared" si="2"/>
        <v>0.437235543</v>
      </c>
    </row>
    <row r="1170">
      <c r="A1170" s="82">
        <v>44706.0</v>
      </c>
      <c r="B1170" s="66">
        <v>2011.0</v>
      </c>
      <c r="C1170" s="66">
        <v>3.0</v>
      </c>
      <c r="D1170" s="66" t="s">
        <v>204</v>
      </c>
      <c r="E1170" s="66">
        <v>0.0</v>
      </c>
      <c r="F1170" s="66">
        <v>0.1145</v>
      </c>
      <c r="G1170" s="66">
        <v>0.05</v>
      </c>
      <c r="H1170" s="66" t="s">
        <v>226</v>
      </c>
      <c r="I1170" s="81">
        <f t="shared" si="1"/>
        <v>1.29</v>
      </c>
      <c r="J1170" s="81">
        <f t="shared" si="2"/>
        <v>0.4366812227</v>
      </c>
    </row>
    <row r="1171">
      <c r="A1171" s="82">
        <v>44706.0</v>
      </c>
      <c r="B1171" s="66">
        <v>2011.0</v>
      </c>
      <c r="C1171" s="66">
        <v>3.0</v>
      </c>
      <c r="D1171" s="66" t="s">
        <v>204</v>
      </c>
      <c r="E1171" s="66">
        <v>1.0</v>
      </c>
      <c r="F1171" s="66">
        <v>1.867</v>
      </c>
      <c r="G1171" s="66">
        <v>0.815</v>
      </c>
      <c r="H1171" s="66" t="s">
        <v>228</v>
      </c>
      <c r="I1171" s="81">
        <f t="shared" si="1"/>
        <v>1.290797546</v>
      </c>
      <c r="J1171" s="81">
        <f t="shared" si="2"/>
        <v>0.4365291912</v>
      </c>
    </row>
    <row r="1172">
      <c r="A1172" s="82">
        <v>44706.0</v>
      </c>
      <c r="B1172" s="66">
        <v>2020.0</v>
      </c>
      <c r="C1172" s="66">
        <v>1.0</v>
      </c>
      <c r="D1172" s="66" t="s">
        <v>205</v>
      </c>
      <c r="E1172" s="66">
        <v>0.0</v>
      </c>
      <c r="F1172" s="66">
        <v>0.1904</v>
      </c>
      <c r="G1172" s="66">
        <v>0.0831</v>
      </c>
      <c r="I1172" s="81">
        <f t="shared" si="1"/>
        <v>1.291215403</v>
      </c>
      <c r="J1172" s="81">
        <f t="shared" si="2"/>
        <v>0.4364495798</v>
      </c>
    </row>
    <row r="1173">
      <c r="A1173" s="82">
        <v>44706.0</v>
      </c>
      <c r="B1173" s="66">
        <v>2020.0</v>
      </c>
      <c r="C1173" s="66">
        <v>1.0</v>
      </c>
      <c r="D1173" s="66" t="s">
        <v>204</v>
      </c>
      <c r="E1173" s="66">
        <v>1.0</v>
      </c>
      <c r="F1173" s="66">
        <v>0.1352</v>
      </c>
      <c r="G1173" s="66">
        <v>0.059</v>
      </c>
      <c r="H1173" s="66" t="s">
        <v>227</v>
      </c>
      <c r="I1173" s="81">
        <f t="shared" si="1"/>
        <v>1.291525424</v>
      </c>
      <c r="J1173" s="81">
        <f t="shared" si="2"/>
        <v>0.4363905325</v>
      </c>
    </row>
    <row r="1174">
      <c r="A1174" s="82">
        <v>44706.0</v>
      </c>
      <c r="B1174" s="66">
        <v>2020.0</v>
      </c>
      <c r="C1174" s="66">
        <v>2.0</v>
      </c>
      <c r="D1174" s="66" t="s">
        <v>205</v>
      </c>
      <c r="E1174" s="66">
        <v>0.0</v>
      </c>
      <c r="F1174" s="66">
        <v>0.1618</v>
      </c>
      <c r="G1174" s="66">
        <v>0.0706</v>
      </c>
      <c r="H1174" s="66" t="s">
        <v>226</v>
      </c>
      <c r="I1174" s="81">
        <f t="shared" si="1"/>
        <v>1.291784703</v>
      </c>
      <c r="J1174" s="81">
        <f t="shared" si="2"/>
        <v>0.4363411619</v>
      </c>
    </row>
    <row r="1175">
      <c r="A1175" s="82">
        <v>44706.0</v>
      </c>
      <c r="B1175" s="66">
        <v>2020.0</v>
      </c>
      <c r="C1175" s="66">
        <v>2.0</v>
      </c>
      <c r="D1175" s="66" t="s">
        <v>204</v>
      </c>
      <c r="E1175" s="66">
        <v>0.0</v>
      </c>
      <c r="F1175" s="66">
        <v>0.1577</v>
      </c>
      <c r="G1175" s="66">
        <v>0.0688</v>
      </c>
      <c r="H1175" s="66" t="s">
        <v>226</v>
      </c>
      <c r="I1175" s="81">
        <f t="shared" si="1"/>
        <v>1.292151163</v>
      </c>
      <c r="J1175" s="81">
        <f t="shared" si="2"/>
        <v>0.4362714014</v>
      </c>
    </row>
    <row r="1176">
      <c r="A1176" s="82">
        <v>44706.0</v>
      </c>
      <c r="B1176" s="66">
        <v>2020.0</v>
      </c>
      <c r="C1176" s="66">
        <v>2.0</v>
      </c>
      <c r="D1176" s="66" t="s">
        <v>204</v>
      </c>
      <c r="E1176" s="66">
        <v>1.0</v>
      </c>
      <c r="F1176" s="66">
        <v>0.1733</v>
      </c>
      <c r="G1176" s="66">
        <v>0.0756</v>
      </c>
      <c r="I1176" s="81">
        <f t="shared" si="1"/>
        <v>1.292328042</v>
      </c>
      <c r="J1176" s="81">
        <f t="shared" si="2"/>
        <v>0.436237738</v>
      </c>
    </row>
    <row r="1177">
      <c r="A1177" s="82">
        <v>44706.0</v>
      </c>
      <c r="B1177" s="66">
        <v>2020.0</v>
      </c>
      <c r="C1177" s="66">
        <v>3.0</v>
      </c>
      <c r="D1177" s="66" t="s">
        <v>205</v>
      </c>
      <c r="E1177" s="66">
        <v>0.0</v>
      </c>
      <c r="F1177" s="66">
        <v>0.1298</v>
      </c>
      <c r="G1177" s="66">
        <v>0.0566</v>
      </c>
      <c r="H1177" s="66" t="s">
        <v>226</v>
      </c>
      <c r="I1177" s="81">
        <f t="shared" si="1"/>
        <v>1.293286219</v>
      </c>
      <c r="J1177" s="81">
        <f t="shared" si="2"/>
        <v>0.43605547</v>
      </c>
    </row>
    <row r="1178">
      <c r="A1178" s="82">
        <v>44706.0</v>
      </c>
      <c r="B1178" s="66">
        <v>2020.0</v>
      </c>
      <c r="C1178" s="66">
        <v>3.0</v>
      </c>
      <c r="D1178" s="66" t="s">
        <v>204</v>
      </c>
      <c r="E1178" s="66">
        <v>0.0</v>
      </c>
      <c r="F1178" s="66">
        <v>0.117</v>
      </c>
      <c r="G1178" s="66">
        <v>0.051</v>
      </c>
      <c r="H1178" s="66" t="s">
        <v>227</v>
      </c>
      <c r="I1178" s="81">
        <f t="shared" si="1"/>
        <v>1.294117647</v>
      </c>
      <c r="J1178" s="81">
        <f t="shared" si="2"/>
        <v>0.4358974359</v>
      </c>
    </row>
    <row r="1179">
      <c r="A1179" s="82">
        <v>44706.0</v>
      </c>
      <c r="B1179" s="66">
        <v>2020.0</v>
      </c>
      <c r="C1179" s="66">
        <v>3.0</v>
      </c>
      <c r="D1179" s="66" t="s">
        <v>204</v>
      </c>
      <c r="E1179" s="66">
        <v>1.0</v>
      </c>
      <c r="F1179" s="66">
        <v>0.1427</v>
      </c>
      <c r="G1179" s="66">
        <v>0.0622</v>
      </c>
      <c r="I1179" s="81">
        <f t="shared" si="1"/>
        <v>1.294212219</v>
      </c>
      <c r="J1179" s="81">
        <f t="shared" si="2"/>
        <v>0.4358794674</v>
      </c>
    </row>
    <row r="1180">
      <c r="A1180" s="82">
        <v>44706.0</v>
      </c>
      <c r="B1180" s="66">
        <v>2021.0</v>
      </c>
      <c r="C1180" s="66">
        <v>1.0</v>
      </c>
      <c r="D1180" s="66" t="s">
        <v>205</v>
      </c>
      <c r="E1180" s="66">
        <v>0.0</v>
      </c>
      <c r="F1180" s="66">
        <v>0.0482</v>
      </c>
      <c r="G1180" s="66">
        <v>0.021</v>
      </c>
      <c r="H1180" s="66" t="s">
        <v>227</v>
      </c>
      <c r="I1180" s="81">
        <f t="shared" si="1"/>
        <v>1.295238095</v>
      </c>
      <c r="J1180" s="81">
        <f t="shared" si="2"/>
        <v>0.4356846473</v>
      </c>
    </row>
    <row r="1181">
      <c r="A1181" s="82">
        <v>44706.0</v>
      </c>
      <c r="B1181" s="66">
        <v>2021.0</v>
      </c>
      <c r="C1181" s="66">
        <v>1.0</v>
      </c>
      <c r="D1181" s="66" t="s">
        <v>204</v>
      </c>
      <c r="E1181" s="66">
        <v>0.0</v>
      </c>
      <c r="F1181" s="66">
        <v>2.33</v>
      </c>
      <c r="G1181" s="66">
        <v>1.015</v>
      </c>
      <c r="H1181" s="66" t="s">
        <v>229</v>
      </c>
      <c r="I1181" s="81">
        <f t="shared" si="1"/>
        <v>1.295566502</v>
      </c>
      <c r="J1181" s="81">
        <f t="shared" si="2"/>
        <v>0.4356223176</v>
      </c>
    </row>
    <row r="1182">
      <c r="A1182" s="82">
        <v>44706.0</v>
      </c>
      <c r="B1182" s="66">
        <v>2022.0</v>
      </c>
      <c r="C1182" s="66">
        <v>2.0</v>
      </c>
      <c r="D1182" s="66" t="s">
        <v>205</v>
      </c>
      <c r="E1182" s="66">
        <v>1.0</v>
      </c>
      <c r="F1182" s="66">
        <v>0.2056</v>
      </c>
      <c r="G1182" s="66">
        <v>0.0895</v>
      </c>
      <c r="H1182" s="66" t="s">
        <v>226</v>
      </c>
      <c r="I1182" s="81">
        <f t="shared" si="1"/>
        <v>1.297206704</v>
      </c>
      <c r="J1182" s="81">
        <f t="shared" si="2"/>
        <v>0.435311284</v>
      </c>
    </row>
    <row r="1183">
      <c r="A1183" s="82">
        <v>44706.0</v>
      </c>
      <c r="B1183" s="66">
        <v>2023.0</v>
      </c>
      <c r="C1183" s="66">
        <v>1.0</v>
      </c>
      <c r="D1183" s="66" t="s">
        <v>205</v>
      </c>
      <c r="E1183" s="66">
        <v>0.0</v>
      </c>
      <c r="F1183" s="66">
        <v>0.347</v>
      </c>
      <c r="G1183" s="66">
        <v>0.151</v>
      </c>
      <c r="H1183" s="66" t="s">
        <v>229</v>
      </c>
      <c r="I1183" s="81">
        <f t="shared" si="1"/>
        <v>1.298013245</v>
      </c>
      <c r="J1183" s="81">
        <f t="shared" si="2"/>
        <v>0.4351585014</v>
      </c>
    </row>
    <row r="1184">
      <c r="A1184" s="82">
        <v>44706.0</v>
      </c>
      <c r="B1184" s="66">
        <v>2023.0</v>
      </c>
      <c r="C1184" s="66">
        <v>1.0</v>
      </c>
      <c r="D1184" s="66" t="s">
        <v>205</v>
      </c>
      <c r="E1184" s="66">
        <v>1.0</v>
      </c>
      <c r="F1184" s="66">
        <v>0.1287</v>
      </c>
      <c r="G1184" s="66">
        <v>0.056</v>
      </c>
      <c r="I1184" s="81">
        <f t="shared" si="1"/>
        <v>1.298214286</v>
      </c>
      <c r="J1184" s="81">
        <f t="shared" si="2"/>
        <v>0.4351204351</v>
      </c>
    </row>
    <row r="1185">
      <c r="A1185" s="82">
        <v>44706.0</v>
      </c>
      <c r="B1185" s="66">
        <v>2023.0</v>
      </c>
      <c r="C1185" s="66">
        <v>1.0</v>
      </c>
      <c r="D1185" s="66" t="s">
        <v>204</v>
      </c>
      <c r="E1185" s="66">
        <v>0.0</v>
      </c>
      <c r="F1185" s="66">
        <v>0.0246</v>
      </c>
      <c r="G1185" s="66">
        <v>0.0107</v>
      </c>
      <c r="I1185" s="81">
        <f t="shared" si="1"/>
        <v>1.299065421</v>
      </c>
      <c r="J1185" s="81">
        <f t="shared" si="2"/>
        <v>0.4349593496</v>
      </c>
    </row>
    <row r="1186">
      <c r="A1186" s="82">
        <v>44706.0</v>
      </c>
      <c r="B1186" s="66">
        <v>2023.0</v>
      </c>
      <c r="C1186" s="66">
        <v>1.0</v>
      </c>
      <c r="D1186" s="66" t="s">
        <v>204</v>
      </c>
      <c r="E1186" s="66">
        <v>1.0</v>
      </c>
      <c r="F1186" s="66">
        <v>1.831</v>
      </c>
      <c r="G1186" s="66">
        <v>0.796</v>
      </c>
      <c r="H1186" s="66" t="s">
        <v>228</v>
      </c>
      <c r="I1186" s="81">
        <f t="shared" si="1"/>
        <v>1.300251256</v>
      </c>
      <c r="J1186" s="81">
        <f t="shared" si="2"/>
        <v>0.4347351174</v>
      </c>
    </row>
    <row r="1187">
      <c r="A1187" s="82">
        <v>44706.0</v>
      </c>
      <c r="B1187" s="66">
        <v>2023.0</v>
      </c>
      <c r="C1187" s="66">
        <v>2.0</v>
      </c>
      <c r="D1187" s="66" t="s">
        <v>205</v>
      </c>
      <c r="E1187" s="66">
        <v>0.0</v>
      </c>
      <c r="F1187" s="66">
        <v>0.1451</v>
      </c>
      <c r="G1187" s="66">
        <v>0.063</v>
      </c>
      <c r="H1187" s="66" t="s">
        <v>226</v>
      </c>
      <c r="I1187" s="81">
        <f t="shared" si="1"/>
        <v>1.303174603</v>
      </c>
      <c r="J1187" s="81">
        <f t="shared" si="2"/>
        <v>0.4341833218</v>
      </c>
    </row>
    <row r="1188">
      <c r="A1188" s="82">
        <v>44706.0</v>
      </c>
      <c r="B1188" s="66">
        <v>2023.0</v>
      </c>
      <c r="C1188" s="66">
        <v>2.0</v>
      </c>
      <c r="D1188" s="66" t="s">
        <v>204</v>
      </c>
      <c r="E1188" s="66">
        <v>1.0</v>
      </c>
      <c r="F1188" s="66">
        <v>0.205</v>
      </c>
      <c r="G1188" s="66">
        <v>0.089</v>
      </c>
      <c r="H1188" s="66" t="s">
        <v>227</v>
      </c>
      <c r="I1188" s="81">
        <f t="shared" si="1"/>
        <v>1.303370787</v>
      </c>
      <c r="J1188" s="81">
        <f t="shared" si="2"/>
        <v>0.4341463415</v>
      </c>
    </row>
    <row r="1189">
      <c r="A1189" s="82">
        <v>44706.0</v>
      </c>
      <c r="B1189" s="66">
        <v>2023.0</v>
      </c>
      <c r="C1189" s="66">
        <v>3.0</v>
      </c>
      <c r="D1189" s="66" t="s">
        <v>205</v>
      </c>
      <c r="E1189" s="66">
        <v>1.0</v>
      </c>
      <c r="F1189" s="66">
        <v>0.1912</v>
      </c>
      <c r="G1189" s="66">
        <v>0.083</v>
      </c>
      <c r="H1189" s="66" t="s">
        <v>226</v>
      </c>
      <c r="I1189" s="81">
        <f t="shared" si="1"/>
        <v>1.303614458</v>
      </c>
      <c r="J1189" s="81">
        <f t="shared" si="2"/>
        <v>0.4341004184</v>
      </c>
    </row>
    <row r="1190">
      <c r="A1190" s="82">
        <v>44706.0</v>
      </c>
      <c r="B1190" s="66">
        <v>2023.0</v>
      </c>
      <c r="C1190" s="66">
        <v>3.0</v>
      </c>
      <c r="D1190" s="66" t="s">
        <v>204</v>
      </c>
      <c r="E1190" s="66">
        <v>1.0</v>
      </c>
      <c r="F1190" s="66">
        <v>0.1252</v>
      </c>
      <c r="G1190" s="66">
        <v>0.0543</v>
      </c>
      <c r="I1190" s="81">
        <f t="shared" si="1"/>
        <v>1.305709024</v>
      </c>
      <c r="J1190" s="81">
        <f t="shared" si="2"/>
        <v>0.4337060703</v>
      </c>
    </row>
    <row r="1191">
      <c r="A1191" s="82">
        <v>44706.0</v>
      </c>
      <c r="B1191" s="66">
        <v>2024.0</v>
      </c>
      <c r="C1191" s="66">
        <v>1.0</v>
      </c>
      <c r="D1191" s="66" t="s">
        <v>205</v>
      </c>
      <c r="E1191" s="66">
        <v>0.0</v>
      </c>
      <c r="F1191" s="66">
        <v>0.181</v>
      </c>
      <c r="G1191" s="66">
        <v>0.0785</v>
      </c>
      <c r="I1191" s="81">
        <f t="shared" si="1"/>
        <v>1.305732484</v>
      </c>
      <c r="J1191" s="81">
        <f t="shared" si="2"/>
        <v>0.4337016575</v>
      </c>
    </row>
    <row r="1192">
      <c r="A1192" s="82">
        <v>44706.0</v>
      </c>
      <c r="B1192" s="66">
        <v>2024.0</v>
      </c>
      <c r="C1192" s="66">
        <v>1.0</v>
      </c>
      <c r="D1192" s="66" t="s">
        <v>204</v>
      </c>
      <c r="E1192" s="66">
        <v>0.0</v>
      </c>
      <c r="F1192" s="66">
        <v>1.2112</v>
      </c>
      <c r="G1192" s="66">
        <v>0.5249</v>
      </c>
      <c r="H1192" s="66" t="s">
        <v>226</v>
      </c>
      <c r="I1192" s="81">
        <f t="shared" si="1"/>
        <v>1.30748714</v>
      </c>
      <c r="J1192" s="81">
        <f t="shared" si="2"/>
        <v>0.4333718626</v>
      </c>
    </row>
    <row r="1193">
      <c r="A1193" s="82">
        <v>44706.0</v>
      </c>
      <c r="B1193" s="66">
        <v>2024.0</v>
      </c>
      <c r="C1193" s="66">
        <v>1.0</v>
      </c>
      <c r="D1193" s="66" t="s">
        <v>204</v>
      </c>
      <c r="E1193" s="66">
        <v>1.0</v>
      </c>
      <c r="F1193" s="66">
        <v>0.1392</v>
      </c>
      <c r="G1193" s="66">
        <v>0.0602</v>
      </c>
      <c r="H1193" s="66" t="s">
        <v>226</v>
      </c>
      <c r="I1193" s="81">
        <f t="shared" si="1"/>
        <v>1.312292359</v>
      </c>
      <c r="J1193" s="81">
        <f t="shared" si="2"/>
        <v>0.4324712644</v>
      </c>
    </row>
    <row r="1194">
      <c r="A1194" s="82">
        <v>44706.0</v>
      </c>
      <c r="B1194" s="66">
        <v>2024.0</v>
      </c>
      <c r="C1194" s="66">
        <v>2.0</v>
      </c>
      <c r="D1194" s="66" t="s">
        <v>205</v>
      </c>
      <c r="E1194" s="66">
        <v>0.0</v>
      </c>
      <c r="F1194" s="66">
        <v>0.3757</v>
      </c>
      <c r="G1194" s="66">
        <v>0.1623</v>
      </c>
      <c r="I1194" s="81">
        <f t="shared" si="1"/>
        <v>1.314849045</v>
      </c>
      <c r="J1194" s="81">
        <f t="shared" si="2"/>
        <v>0.4319936119</v>
      </c>
    </row>
    <row r="1195">
      <c r="A1195" s="82">
        <v>44706.0</v>
      </c>
      <c r="B1195" s="66">
        <v>2024.0</v>
      </c>
      <c r="C1195" s="66">
        <v>2.0</v>
      </c>
      <c r="D1195" s="66" t="s">
        <v>204</v>
      </c>
      <c r="E1195" s="66">
        <v>1.0</v>
      </c>
      <c r="F1195" s="66">
        <v>0.1882</v>
      </c>
      <c r="G1195" s="66">
        <v>0.0813</v>
      </c>
      <c r="H1195" s="66" t="s">
        <v>226</v>
      </c>
      <c r="I1195" s="81">
        <f t="shared" si="1"/>
        <v>1.314883149</v>
      </c>
      <c r="J1195" s="81">
        <f t="shared" si="2"/>
        <v>0.4319872476</v>
      </c>
    </row>
    <row r="1196">
      <c r="A1196" s="82">
        <v>44706.0</v>
      </c>
      <c r="B1196" s="66">
        <v>2024.0</v>
      </c>
      <c r="C1196" s="66">
        <v>3.0</v>
      </c>
      <c r="D1196" s="66" t="s">
        <v>205</v>
      </c>
      <c r="E1196" s="66">
        <v>0.0</v>
      </c>
      <c r="F1196" s="66">
        <v>0.2149</v>
      </c>
      <c r="G1196" s="66">
        <v>0.0928</v>
      </c>
      <c r="I1196" s="81">
        <f t="shared" si="1"/>
        <v>1.315732759</v>
      </c>
      <c r="J1196" s="81">
        <f t="shared" si="2"/>
        <v>0.4318287576</v>
      </c>
    </row>
    <row r="1197">
      <c r="A1197" s="82">
        <v>44706.0</v>
      </c>
      <c r="B1197" s="66">
        <v>2024.0</v>
      </c>
      <c r="C1197" s="66">
        <v>3.0</v>
      </c>
      <c r="D1197" s="66" t="s">
        <v>204</v>
      </c>
      <c r="E1197" s="66">
        <v>0.0</v>
      </c>
      <c r="F1197" s="66">
        <v>0.088</v>
      </c>
      <c r="G1197" s="66">
        <v>0.038</v>
      </c>
      <c r="H1197" s="66" t="s">
        <v>227</v>
      </c>
      <c r="I1197" s="81">
        <f t="shared" si="1"/>
        <v>1.315789474</v>
      </c>
      <c r="J1197" s="81">
        <f t="shared" si="2"/>
        <v>0.4318181818</v>
      </c>
    </row>
    <row r="1198">
      <c r="A1198" s="82">
        <v>44706.0</v>
      </c>
      <c r="B1198" s="66">
        <v>2024.0</v>
      </c>
      <c r="C1198" s="66">
        <v>3.0</v>
      </c>
      <c r="D1198" s="66" t="s">
        <v>204</v>
      </c>
      <c r="E1198" s="66">
        <v>1.0</v>
      </c>
      <c r="F1198" s="66">
        <v>0.44</v>
      </c>
      <c r="G1198" s="66">
        <v>0.19</v>
      </c>
      <c r="H1198" s="66" t="s">
        <v>227</v>
      </c>
      <c r="I1198" s="81">
        <f t="shared" si="1"/>
        <v>1.315789474</v>
      </c>
      <c r="J1198" s="81">
        <f t="shared" si="2"/>
        <v>0.4318181818</v>
      </c>
    </row>
    <row r="1199">
      <c r="A1199" s="82">
        <v>44706.0</v>
      </c>
      <c r="B1199" s="66">
        <v>2024.0</v>
      </c>
      <c r="C1199" s="66">
        <v>3.0</v>
      </c>
      <c r="D1199" s="66" t="s">
        <v>204</v>
      </c>
      <c r="E1199" s="66">
        <v>1.0</v>
      </c>
      <c r="F1199" s="66">
        <v>0.205</v>
      </c>
      <c r="G1199" s="66">
        <v>0.0885</v>
      </c>
      <c r="H1199" s="66" t="s">
        <v>226</v>
      </c>
      <c r="I1199" s="81">
        <f t="shared" si="1"/>
        <v>1.316384181</v>
      </c>
      <c r="J1199" s="81">
        <f t="shared" si="2"/>
        <v>0.4317073171</v>
      </c>
    </row>
    <row r="1200">
      <c r="A1200" s="82">
        <v>44706.0</v>
      </c>
      <c r="B1200" s="66">
        <v>2025.0</v>
      </c>
      <c r="C1200" s="66">
        <v>1.0</v>
      </c>
      <c r="D1200" s="66" t="s">
        <v>205</v>
      </c>
      <c r="E1200" s="66">
        <v>0.0</v>
      </c>
      <c r="F1200" s="66">
        <v>0.095</v>
      </c>
      <c r="G1200" s="66">
        <v>0.041</v>
      </c>
      <c r="H1200" s="66" t="s">
        <v>227</v>
      </c>
      <c r="I1200" s="81">
        <f t="shared" si="1"/>
        <v>1.317073171</v>
      </c>
      <c r="J1200" s="81">
        <f t="shared" si="2"/>
        <v>0.4315789474</v>
      </c>
    </row>
    <row r="1201">
      <c r="A1201" s="82">
        <v>44706.0</v>
      </c>
      <c r="B1201" s="66">
        <v>2025.0</v>
      </c>
      <c r="C1201" s="66">
        <v>1.0</v>
      </c>
      <c r="D1201" s="66" t="s">
        <v>204</v>
      </c>
      <c r="E1201" s="66">
        <v>0.0</v>
      </c>
      <c r="F1201" s="66">
        <v>0.3808</v>
      </c>
      <c r="G1201" s="66">
        <v>0.1642</v>
      </c>
      <c r="I1201" s="81">
        <f t="shared" si="1"/>
        <v>1.319123021</v>
      </c>
      <c r="J1201" s="81">
        <f t="shared" si="2"/>
        <v>0.431197479</v>
      </c>
    </row>
    <row r="1202">
      <c r="A1202" s="82">
        <v>44706.0</v>
      </c>
      <c r="B1202" s="66">
        <v>2025.0</v>
      </c>
      <c r="C1202" s="66">
        <v>1.0</v>
      </c>
      <c r="D1202" s="66" t="s">
        <v>204</v>
      </c>
      <c r="E1202" s="66">
        <v>1.0</v>
      </c>
      <c r="F1202" s="66">
        <v>0.41</v>
      </c>
      <c r="G1202" s="66">
        <v>0.1766</v>
      </c>
      <c r="H1202" s="66" t="s">
        <v>226</v>
      </c>
      <c r="I1202" s="81">
        <f t="shared" si="1"/>
        <v>1.321630804</v>
      </c>
      <c r="J1202" s="81">
        <f t="shared" si="2"/>
        <v>0.4307317073</v>
      </c>
    </row>
    <row r="1203">
      <c r="A1203" s="82">
        <v>44706.0</v>
      </c>
      <c r="B1203" s="66">
        <v>2025.0</v>
      </c>
      <c r="C1203" s="66">
        <v>2.0</v>
      </c>
      <c r="D1203" s="66" t="s">
        <v>205</v>
      </c>
      <c r="E1203" s="66">
        <v>0.0</v>
      </c>
      <c r="F1203" s="66">
        <v>0.1605</v>
      </c>
      <c r="G1203" s="66">
        <v>0.0691</v>
      </c>
      <c r="H1203" s="66" t="s">
        <v>226</v>
      </c>
      <c r="I1203" s="81">
        <f t="shared" si="1"/>
        <v>1.322720695</v>
      </c>
      <c r="J1203" s="81">
        <f t="shared" si="2"/>
        <v>0.430529595</v>
      </c>
    </row>
    <row r="1204">
      <c r="A1204" s="82">
        <v>44706.0</v>
      </c>
      <c r="B1204" s="66">
        <v>2025.0</v>
      </c>
      <c r="C1204" s="66">
        <v>2.0</v>
      </c>
      <c r="D1204" s="66" t="s">
        <v>204</v>
      </c>
      <c r="E1204" s="66">
        <v>0.0</v>
      </c>
      <c r="F1204" s="66">
        <v>0.899</v>
      </c>
      <c r="G1204" s="66">
        <v>0.387</v>
      </c>
      <c r="H1204" s="66" t="s">
        <v>229</v>
      </c>
      <c r="I1204" s="81">
        <f t="shared" si="1"/>
        <v>1.322997416</v>
      </c>
      <c r="J1204" s="81">
        <f t="shared" si="2"/>
        <v>0.4304783092</v>
      </c>
    </row>
    <row r="1205">
      <c r="A1205" s="82">
        <v>44706.0</v>
      </c>
      <c r="B1205" s="66">
        <v>2025.0</v>
      </c>
      <c r="C1205" s="66">
        <v>2.0</v>
      </c>
      <c r="D1205" s="66" t="s">
        <v>204</v>
      </c>
      <c r="E1205" s="66">
        <v>1.0</v>
      </c>
      <c r="F1205" s="66">
        <v>0.2068</v>
      </c>
      <c r="G1205" s="66">
        <v>0.089</v>
      </c>
      <c r="H1205" s="66" t="s">
        <v>227</v>
      </c>
      <c r="I1205" s="81">
        <f t="shared" si="1"/>
        <v>1.323595506</v>
      </c>
      <c r="J1205" s="81">
        <f t="shared" si="2"/>
        <v>0.4303675048</v>
      </c>
    </row>
    <row r="1206">
      <c r="A1206" s="82">
        <v>44706.0</v>
      </c>
      <c r="B1206" s="66">
        <v>2025.0</v>
      </c>
      <c r="C1206" s="66">
        <v>3.0</v>
      </c>
      <c r="D1206" s="66" t="s">
        <v>205</v>
      </c>
      <c r="E1206" s="66">
        <v>0.0</v>
      </c>
      <c r="F1206" s="66">
        <v>0.0186</v>
      </c>
      <c r="G1206" s="66">
        <v>0.008</v>
      </c>
      <c r="I1206" s="81">
        <f t="shared" si="1"/>
        <v>1.325</v>
      </c>
      <c r="J1206" s="81">
        <f t="shared" si="2"/>
        <v>0.4301075269</v>
      </c>
    </row>
    <row r="1207">
      <c r="A1207" s="82">
        <v>44706.0</v>
      </c>
      <c r="B1207" s="66">
        <v>2025.0</v>
      </c>
      <c r="C1207" s="66">
        <v>3.0</v>
      </c>
      <c r="D1207" s="66" t="s">
        <v>204</v>
      </c>
      <c r="E1207" s="66">
        <v>0.0</v>
      </c>
      <c r="F1207" s="66">
        <v>0.3279</v>
      </c>
      <c r="G1207" s="66">
        <v>0.141</v>
      </c>
      <c r="H1207" s="66" t="s">
        <v>226</v>
      </c>
      <c r="I1207" s="81">
        <f t="shared" si="1"/>
        <v>1.325531915</v>
      </c>
      <c r="J1207" s="81">
        <f t="shared" si="2"/>
        <v>0.4300091491</v>
      </c>
    </row>
    <row r="1208">
      <c r="A1208" s="82">
        <v>44706.0</v>
      </c>
      <c r="B1208" s="66">
        <v>2025.0</v>
      </c>
      <c r="C1208" s="66">
        <v>3.0</v>
      </c>
      <c r="D1208" s="66" t="s">
        <v>204</v>
      </c>
      <c r="E1208" s="66">
        <v>1.0</v>
      </c>
      <c r="F1208" s="66">
        <v>0.1333</v>
      </c>
      <c r="G1208" s="66">
        <v>0.0573</v>
      </c>
      <c r="I1208" s="81">
        <f t="shared" si="1"/>
        <v>1.326352531</v>
      </c>
      <c r="J1208" s="81">
        <f t="shared" si="2"/>
        <v>0.4298574644</v>
      </c>
    </row>
    <row r="1209">
      <c r="A1209" s="82">
        <v>44706.0</v>
      </c>
      <c r="B1209" s="66">
        <v>2032.0</v>
      </c>
      <c r="C1209" s="66">
        <v>2.0</v>
      </c>
      <c r="D1209" s="66" t="s">
        <v>205</v>
      </c>
      <c r="E1209" s="66">
        <v>1.0</v>
      </c>
      <c r="F1209" s="66">
        <v>0.0184</v>
      </c>
      <c r="G1209" s="66">
        <v>0.0079</v>
      </c>
      <c r="H1209" s="66" t="s">
        <v>226</v>
      </c>
      <c r="I1209" s="81">
        <f t="shared" si="1"/>
        <v>1.329113924</v>
      </c>
      <c r="J1209" s="81">
        <f t="shared" si="2"/>
        <v>0.4293478261</v>
      </c>
    </row>
    <row r="1210">
      <c r="A1210" s="82">
        <v>44706.0</v>
      </c>
      <c r="B1210" s="66">
        <v>2032.0</v>
      </c>
      <c r="C1210" s="66">
        <v>2.0</v>
      </c>
      <c r="D1210" s="66" t="s">
        <v>204</v>
      </c>
      <c r="E1210" s="66">
        <v>0.0</v>
      </c>
      <c r="F1210" s="66">
        <v>0.2237</v>
      </c>
      <c r="G1210" s="66">
        <v>0.0959</v>
      </c>
      <c r="H1210" s="66" t="s">
        <v>226</v>
      </c>
      <c r="I1210" s="81">
        <f t="shared" si="1"/>
        <v>1.332638165</v>
      </c>
      <c r="J1210" s="81">
        <f t="shared" si="2"/>
        <v>0.4286991506</v>
      </c>
    </row>
    <row r="1211">
      <c r="A1211" s="82">
        <v>44706.0</v>
      </c>
      <c r="B1211" s="66">
        <v>2301.0</v>
      </c>
      <c r="C1211" s="66">
        <v>1.0</v>
      </c>
      <c r="D1211" s="66" t="s">
        <v>205</v>
      </c>
      <c r="E1211" s="66">
        <v>1.0</v>
      </c>
      <c r="F1211" s="66">
        <v>0.217</v>
      </c>
      <c r="G1211" s="66">
        <v>0.093</v>
      </c>
      <c r="H1211" s="66" t="s">
        <v>226</v>
      </c>
      <c r="I1211" s="81">
        <f t="shared" si="1"/>
        <v>1.333333333</v>
      </c>
      <c r="J1211" s="81">
        <f t="shared" si="2"/>
        <v>0.4285714286</v>
      </c>
    </row>
    <row r="1212">
      <c r="A1212" s="82">
        <v>44706.0</v>
      </c>
      <c r="B1212" s="66">
        <v>2301.0</v>
      </c>
      <c r="C1212" s="66">
        <v>1.0</v>
      </c>
      <c r="D1212" s="66" t="s">
        <v>204</v>
      </c>
      <c r="E1212" s="66">
        <v>1.0</v>
      </c>
      <c r="F1212" s="66">
        <v>0.049</v>
      </c>
      <c r="G1212" s="66">
        <v>0.021</v>
      </c>
      <c r="H1212" s="66" t="s">
        <v>229</v>
      </c>
      <c r="I1212" s="81">
        <f t="shared" si="1"/>
        <v>1.333333333</v>
      </c>
      <c r="J1212" s="81">
        <f t="shared" si="2"/>
        <v>0.4285714286</v>
      </c>
    </row>
    <row r="1213">
      <c r="A1213" s="82">
        <v>44706.0</v>
      </c>
      <c r="B1213" s="66">
        <v>2301.0</v>
      </c>
      <c r="C1213" s="66">
        <v>2.0</v>
      </c>
      <c r="D1213" s="66" t="s">
        <v>205</v>
      </c>
      <c r="E1213" s="66">
        <v>1.0</v>
      </c>
      <c r="F1213" s="66">
        <v>0.0978</v>
      </c>
      <c r="G1213" s="66">
        <v>0.0419</v>
      </c>
      <c r="I1213" s="81">
        <f t="shared" si="1"/>
        <v>1.334128878</v>
      </c>
      <c r="J1213" s="81">
        <f t="shared" si="2"/>
        <v>0.4284253579</v>
      </c>
    </row>
    <row r="1214">
      <c r="A1214" s="82">
        <v>44706.0</v>
      </c>
      <c r="B1214" s="66">
        <v>2301.0</v>
      </c>
      <c r="C1214" s="66">
        <v>2.0</v>
      </c>
      <c r="D1214" s="66" t="s">
        <v>204</v>
      </c>
      <c r="E1214" s="66">
        <v>1.0</v>
      </c>
      <c r="F1214" s="66">
        <v>0.0733</v>
      </c>
      <c r="G1214" s="66">
        <v>0.0314</v>
      </c>
      <c r="I1214" s="81">
        <f t="shared" si="1"/>
        <v>1.334394904</v>
      </c>
      <c r="J1214" s="81">
        <f t="shared" si="2"/>
        <v>0.4283765348</v>
      </c>
    </row>
    <row r="1215">
      <c r="A1215" s="82">
        <v>44706.0</v>
      </c>
      <c r="B1215" s="66">
        <v>2301.0</v>
      </c>
      <c r="C1215" s="66">
        <v>3.0</v>
      </c>
      <c r="D1215" s="66" t="s">
        <v>205</v>
      </c>
      <c r="E1215" s="66">
        <v>1.0</v>
      </c>
      <c r="F1215" s="66">
        <v>0.4231</v>
      </c>
      <c r="G1215" s="66">
        <v>0.181</v>
      </c>
      <c r="H1215" s="66" t="s">
        <v>226</v>
      </c>
      <c r="I1215" s="81">
        <f t="shared" si="1"/>
        <v>1.337569061</v>
      </c>
      <c r="J1215" s="81">
        <f t="shared" si="2"/>
        <v>0.4277948476</v>
      </c>
    </row>
    <row r="1216">
      <c r="A1216" s="82">
        <v>44706.0</v>
      </c>
      <c r="B1216" s="66">
        <v>2301.0</v>
      </c>
      <c r="C1216" s="66">
        <v>3.0</v>
      </c>
      <c r="D1216" s="66" t="s">
        <v>204</v>
      </c>
      <c r="E1216" s="66">
        <v>1.0</v>
      </c>
      <c r="F1216" s="66">
        <v>2.749</v>
      </c>
      <c r="G1216" s="66">
        <v>1.176</v>
      </c>
      <c r="H1216" s="66" t="s">
        <v>229</v>
      </c>
      <c r="I1216" s="81">
        <f t="shared" si="1"/>
        <v>1.337585034</v>
      </c>
      <c r="J1216" s="81">
        <f t="shared" si="2"/>
        <v>0.4277919243</v>
      </c>
    </row>
    <row r="1217">
      <c r="A1217" s="82">
        <v>44706.0</v>
      </c>
      <c r="B1217" s="66">
        <v>2301.0</v>
      </c>
      <c r="C1217" s="66">
        <v>3.0</v>
      </c>
      <c r="D1217" s="66" t="s">
        <v>204</v>
      </c>
      <c r="E1217" s="66">
        <v>1.0</v>
      </c>
      <c r="F1217" s="66">
        <v>0.2088</v>
      </c>
      <c r="G1217" s="66">
        <v>0.0893</v>
      </c>
      <c r="H1217" s="66" t="s">
        <v>226</v>
      </c>
      <c r="I1217" s="81">
        <f t="shared" si="1"/>
        <v>1.33818589</v>
      </c>
      <c r="J1217" s="81">
        <f t="shared" si="2"/>
        <v>0.4276819923</v>
      </c>
    </row>
    <row r="1218">
      <c r="A1218" s="82">
        <v>44706.0</v>
      </c>
      <c r="B1218" s="66">
        <v>2331.0</v>
      </c>
      <c r="C1218" s="66">
        <v>1.0</v>
      </c>
      <c r="D1218" s="66" t="s">
        <v>205</v>
      </c>
      <c r="E1218" s="66">
        <v>0.0</v>
      </c>
      <c r="F1218" s="66">
        <v>0.269</v>
      </c>
      <c r="G1218" s="66">
        <v>0.115</v>
      </c>
      <c r="H1218" s="66" t="s">
        <v>229</v>
      </c>
      <c r="I1218" s="81">
        <f t="shared" si="1"/>
        <v>1.339130435</v>
      </c>
      <c r="J1218" s="81">
        <f t="shared" si="2"/>
        <v>0.4275092937</v>
      </c>
    </row>
    <row r="1219">
      <c r="A1219" s="82">
        <v>44706.0</v>
      </c>
      <c r="B1219" s="66">
        <v>2331.0</v>
      </c>
      <c r="C1219" s="66">
        <v>1.0</v>
      </c>
      <c r="D1219" s="66" t="s">
        <v>205</v>
      </c>
      <c r="E1219" s="66">
        <v>1.0</v>
      </c>
      <c r="F1219" s="66">
        <v>0.496</v>
      </c>
      <c r="G1219" s="66">
        <v>0.212</v>
      </c>
      <c r="H1219" s="66" t="s">
        <v>229</v>
      </c>
      <c r="I1219" s="81">
        <f t="shared" si="1"/>
        <v>1.339622642</v>
      </c>
      <c r="J1219" s="81">
        <f t="shared" si="2"/>
        <v>0.4274193548</v>
      </c>
    </row>
    <row r="1220">
      <c r="A1220" s="82">
        <v>44706.0</v>
      </c>
      <c r="B1220" s="66">
        <v>2331.0</v>
      </c>
      <c r="C1220" s="66">
        <v>1.0</v>
      </c>
      <c r="D1220" s="66" t="s">
        <v>204</v>
      </c>
      <c r="E1220" s="66">
        <v>0.0</v>
      </c>
      <c r="F1220" s="66">
        <v>0.146</v>
      </c>
      <c r="G1220" s="66">
        <v>0.0624</v>
      </c>
      <c r="H1220" s="66" t="s">
        <v>226</v>
      </c>
      <c r="I1220" s="81">
        <f t="shared" si="1"/>
        <v>1.33974359</v>
      </c>
      <c r="J1220" s="81">
        <f t="shared" si="2"/>
        <v>0.4273972603</v>
      </c>
    </row>
    <row r="1221">
      <c r="A1221" s="82">
        <v>44706.0</v>
      </c>
      <c r="B1221" s="66">
        <v>2331.0</v>
      </c>
      <c r="C1221" s="66">
        <v>1.0</v>
      </c>
      <c r="D1221" s="66" t="s">
        <v>204</v>
      </c>
      <c r="E1221" s="66">
        <v>1.0</v>
      </c>
      <c r="F1221" s="66">
        <v>0.245</v>
      </c>
      <c r="G1221" s="66">
        <v>0.1046</v>
      </c>
      <c r="H1221" s="66" t="s">
        <v>226</v>
      </c>
      <c r="I1221" s="81">
        <f t="shared" si="1"/>
        <v>1.342256214</v>
      </c>
      <c r="J1221" s="81">
        <f t="shared" si="2"/>
        <v>0.4269387755</v>
      </c>
    </row>
    <row r="1222">
      <c r="A1222" s="82">
        <v>44706.0</v>
      </c>
      <c r="B1222" s="66">
        <v>2331.0</v>
      </c>
      <c r="C1222" s="66">
        <v>2.0</v>
      </c>
      <c r="D1222" s="66" t="s">
        <v>205</v>
      </c>
      <c r="E1222" s="66">
        <v>0.0</v>
      </c>
      <c r="F1222" s="66">
        <v>0.075</v>
      </c>
      <c r="G1222" s="66">
        <v>0.032</v>
      </c>
      <c r="H1222" s="66" t="s">
        <v>227</v>
      </c>
      <c r="I1222" s="81">
        <f t="shared" si="1"/>
        <v>1.34375</v>
      </c>
      <c r="J1222" s="81">
        <f t="shared" si="2"/>
        <v>0.4266666667</v>
      </c>
    </row>
    <row r="1223">
      <c r="A1223" s="82">
        <v>44706.0</v>
      </c>
      <c r="B1223" s="66">
        <v>2331.0</v>
      </c>
      <c r="C1223" s="66">
        <v>2.0</v>
      </c>
      <c r="D1223" s="66" t="s">
        <v>205</v>
      </c>
      <c r="E1223" s="66">
        <v>1.0</v>
      </c>
      <c r="F1223" s="66">
        <v>0.0422</v>
      </c>
      <c r="G1223" s="66">
        <v>0.018</v>
      </c>
      <c r="H1223" s="66" t="s">
        <v>227</v>
      </c>
      <c r="I1223" s="81">
        <f t="shared" si="1"/>
        <v>1.344444444</v>
      </c>
      <c r="J1223" s="81">
        <f t="shared" si="2"/>
        <v>0.4265402844</v>
      </c>
    </row>
    <row r="1224">
      <c r="A1224" s="82">
        <v>44706.0</v>
      </c>
      <c r="B1224" s="66">
        <v>2331.0</v>
      </c>
      <c r="C1224" s="66">
        <v>2.0</v>
      </c>
      <c r="D1224" s="66" t="s">
        <v>204</v>
      </c>
      <c r="E1224" s="66">
        <v>0.0</v>
      </c>
      <c r="F1224" s="66">
        <v>0.0891</v>
      </c>
      <c r="G1224" s="66">
        <v>0.038</v>
      </c>
      <c r="I1224" s="81">
        <f t="shared" si="1"/>
        <v>1.344736842</v>
      </c>
      <c r="J1224" s="81">
        <f t="shared" si="2"/>
        <v>0.4264870932</v>
      </c>
    </row>
    <row r="1225">
      <c r="A1225" s="82">
        <v>44706.0</v>
      </c>
      <c r="B1225" s="66">
        <v>2331.0</v>
      </c>
      <c r="C1225" s="66">
        <v>2.0</v>
      </c>
      <c r="D1225" s="66" t="s">
        <v>204</v>
      </c>
      <c r="E1225" s="66">
        <v>1.0</v>
      </c>
      <c r="F1225" s="66">
        <v>0.0936</v>
      </c>
      <c r="G1225" s="66">
        <v>0.0399</v>
      </c>
      <c r="I1225" s="81">
        <f t="shared" si="1"/>
        <v>1.345864662</v>
      </c>
      <c r="J1225" s="81">
        <f t="shared" si="2"/>
        <v>0.4262820513</v>
      </c>
    </row>
    <row r="1226">
      <c r="A1226" s="82">
        <v>44706.0</v>
      </c>
      <c r="B1226" s="66">
        <v>2331.0</v>
      </c>
      <c r="C1226" s="66">
        <v>3.0</v>
      </c>
      <c r="D1226" s="66" t="s">
        <v>205</v>
      </c>
      <c r="E1226" s="66">
        <v>0.0</v>
      </c>
      <c r="F1226" s="66">
        <v>0.0868</v>
      </c>
      <c r="G1226" s="66">
        <v>0.037</v>
      </c>
      <c r="H1226" s="66" t="s">
        <v>227</v>
      </c>
      <c r="I1226" s="81">
        <f t="shared" si="1"/>
        <v>1.345945946</v>
      </c>
      <c r="J1226" s="81">
        <f t="shared" si="2"/>
        <v>0.4262672811</v>
      </c>
    </row>
    <row r="1227">
      <c r="A1227" s="82">
        <v>44706.0</v>
      </c>
      <c r="B1227" s="66">
        <v>2331.0</v>
      </c>
      <c r="C1227" s="66">
        <v>3.0</v>
      </c>
      <c r="D1227" s="66" t="s">
        <v>205</v>
      </c>
      <c r="E1227" s="66">
        <v>1.0</v>
      </c>
      <c r="F1227" s="66">
        <v>2.629</v>
      </c>
      <c r="G1227" s="66">
        <v>1.12</v>
      </c>
      <c r="H1227" s="66" t="s">
        <v>228</v>
      </c>
      <c r="I1227" s="81">
        <f t="shared" si="1"/>
        <v>1.347321429</v>
      </c>
      <c r="J1227" s="81">
        <f t="shared" si="2"/>
        <v>0.4260174971</v>
      </c>
    </row>
    <row r="1228">
      <c r="A1228" s="82">
        <v>44706.0</v>
      </c>
      <c r="B1228" s="66">
        <v>2331.0</v>
      </c>
      <c r="C1228" s="66">
        <v>3.0</v>
      </c>
      <c r="D1228" s="66" t="s">
        <v>204</v>
      </c>
      <c r="E1228" s="66">
        <v>0.0</v>
      </c>
      <c r="F1228" s="66">
        <v>0.3688</v>
      </c>
      <c r="G1228" s="66">
        <v>0.157</v>
      </c>
      <c r="H1228" s="66" t="s">
        <v>227</v>
      </c>
      <c r="I1228" s="81">
        <f t="shared" si="1"/>
        <v>1.349044586</v>
      </c>
      <c r="J1228" s="81">
        <f t="shared" si="2"/>
        <v>0.4257049892</v>
      </c>
    </row>
    <row r="1229">
      <c r="A1229" s="82">
        <v>44706.0</v>
      </c>
      <c r="B1229" s="66">
        <v>2331.0</v>
      </c>
      <c r="C1229" s="66">
        <v>3.0</v>
      </c>
      <c r="D1229" s="66" t="s">
        <v>204</v>
      </c>
      <c r="E1229" s="66">
        <v>1.0</v>
      </c>
      <c r="F1229" s="66">
        <v>0.0268</v>
      </c>
      <c r="G1229" s="66">
        <v>0.0114</v>
      </c>
      <c r="H1229" s="66" t="s">
        <v>227</v>
      </c>
      <c r="I1229" s="81">
        <f t="shared" si="1"/>
        <v>1.350877193</v>
      </c>
      <c r="J1229" s="81">
        <f t="shared" si="2"/>
        <v>0.4253731343</v>
      </c>
    </row>
    <row r="1230">
      <c r="A1230" s="82">
        <v>44706.0</v>
      </c>
      <c r="B1230" s="66">
        <v>2345.0</v>
      </c>
      <c r="C1230" s="66">
        <v>1.0</v>
      </c>
      <c r="D1230" s="66" t="s">
        <v>205</v>
      </c>
      <c r="E1230" s="66">
        <v>1.0</v>
      </c>
      <c r="F1230" s="66">
        <v>0.1834</v>
      </c>
      <c r="G1230" s="66">
        <v>0.078</v>
      </c>
      <c r="I1230" s="81">
        <f t="shared" si="1"/>
        <v>1.351282051</v>
      </c>
      <c r="J1230" s="81">
        <f t="shared" si="2"/>
        <v>0.4252998909</v>
      </c>
    </row>
    <row r="1231">
      <c r="A1231" s="82">
        <v>44706.0</v>
      </c>
      <c r="B1231" s="66">
        <v>2345.0</v>
      </c>
      <c r="C1231" s="66">
        <v>1.0</v>
      </c>
      <c r="D1231" s="66" t="s">
        <v>204</v>
      </c>
      <c r="E1231" s="66">
        <v>1.0</v>
      </c>
      <c r="F1231" s="66">
        <v>1.191</v>
      </c>
      <c r="G1231" s="66">
        <v>0.506</v>
      </c>
      <c r="H1231" s="66" t="s">
        <v>229</v>
      </c>
      <c r="I1231" s="81">
        <f t="shared" si="1"/>
        <v>1.353754941</v>
      </c>
      <c r="J1231" s="81">
        <f t="shared" si="2"/>
        <v>0.4248530647</v>
      </c>
    </row>
    <row r="1232">
      <c r="A1232" s="82">
        <v>44706.0</v>
      </c>
      <c r="B1232" s="66">
        <v>2345.0</v>
      </c>
      <c r="C1232" s="66">
        <v>2.0</v>
      </c>
      <c r="D1232" s="66" t="s">
        <v>205</v>
      </c>
      <c r="E1232" s="66">
        <v>1.0</v>
      </c>
      <c r="F1232" s="66">
        <v>0.1837</v>
      </c>
      <c r="G1232" s="66">
        <v>0.078</v>
      </c>
      <c r="I1232" s="81">
        <f t="shared" si="1"/>
        <v>1.355128205</v>
      </c>
      <c r="J1232" s="81">
        <f t="shared" si="2"/>
        <v>0.4246053348</v>
      </c>
    </row>
    <row r="1233">
      <c r="A1233" s="82">
        <v>44706.0</v>
      </c>
      <c r="B1233" s="66">
        <v>2345.0</v>
      </c>
      <c r="C1233" s="66">
        <v>2.0</v>
      </c>
      <c r="D1233" s="66" t="s">
        <v>204</v>
      </c>
      <c r="E1233" s="66">
        <v>1.0</v>
      </c>
      <c r="F1233" s="66">
        <v>0.2522</v>
      </c>
      <c r="G1233" s="66">
        <v>0.107</v>
      </c>
      <c r="I1233" s="81">
        <f t="shared" si="1"/>
        <v>1.357009346</v>
      </c>
      <c r="J1233" s="81">
        <f t="shared" si="2"/>
        <v>0.4242664552</v>
      </c>
    </row>
    <row r="1234">
      <c r="A1234" s="82">
        <v>44706.0</v>
      </c>
      <c r="B1234" s="66">
        <v>2345.0</v>
      </c>
      <c r="C1234" s="66">
        <v>3.0</v>
      </c>
      <c r="D1234" s="66" t="s">
        <v>205</v>
      </c>
      <c r="E1234" s="66">
        <v>1.0</v>
      </c>
      <c r="F1234" s="66">
        <v>0.1233</v>
      </c>
      <c r="G1234" s="66">
        <v>0.0523</v>
      </c>
      <c r="I1234" s="81">
        <f t="shared" si="1"/>
        <v>1.357552581</v>
      </c>
      <c r="J1234" s="81">
        <f t="shared" si="2"/>
        <v>0.4241686942</v>
      </c>
    </row>
    <row r="1235">
      <c r="A1235" s="82">
        <v>44706.0</v>
      </c>
      <c r="B1235" s="66">
        <v>2345.0</v>
      </c>
      <c r="C1235" s="66">
        <v>3.0</v>
      </c>
      <c r="D1235" s="66" t="s">
        <v>204</v>
      </c>
      <c r="E1235" s="66">
        <v>1.0</v>
      </c>
      <c r="F1235" s="66">
        <v>0.229</v>
      </c>
      <c r="G1235" s="66">
        <v>0.097</v>
      </c>
      <c r="H1235" s="66" t="s">
        <v>229</v>
      </c>
      <c r="I1235" s="81">
        <f t="shared" si="1"/>
        <v>1.360824742</v>
      </c>
      <c r="J1235" s="81">
        <f t="shared" si="2"/>
        <v>0.423580786</v>
      </c>
    </row>
    <row r="1236">
      <c r="A1236" s="82">
        <v>44706.0</v>
      </c>
      <c r="B1236" s="66">
        <v>2346.0</v>
      </c>
      <c r="C1236" s="66">
        <v>1.0</v>
      </c>
      <c r="D1236" s="66" t="s">
        <v>205</v>
      </c>
      <c r="E1236" s="66">
        <v>0.0</v>
      </c>
      <c r="F1236" s="66">
        <v>0.1299</v>
      </c>
      <c r="G1236" s="66">
        <v>0.055</v>
      </c>
      <c r="I1236" s="81">
        <f t="shared" si="1"/>
        <v>1.361818182</v>
      </c>
      <c r="J1236" s="81">
        <f t="shared" si="2"/>
        <v>0.4234026174</v>
      </c>
    </row>
    <row r="1237">
      <c r="A1237" s="82">
        <v>44706.0</v>
      </c>
      <c r="B1237" s="66">
        <v>2346.0</v>
      </c>
      <c r="C1237" s="66">
        <v>1.0</v>
      </c>
      <c r="D1237" s="66" t="s">
        <v>204</v>
      </c>
      <c r="E1237" s="66">
        <v>0.0</v>
      </c>
      <c r="F1237" s="66">
        <v>0.0274</v>
      </c>
      <c r="G1237" s="66">
        <v>0.0116</v>
      </c>
      <c r="H1237" s="66" t="s">
        <v>226</v>
      </c>
      <c r="I1237" s="81">
        <f t="shared" si="1"/>
        <v>1.362068966</v>
      </c>
      <c r="J1237" s="81">
        <f t="shared" si="2"/>
        <v>0.4233576642</v>
      </c>
    </row>
    <row r="1238">
      <c r="A1238" s="82">
        <v>44706.0</v>
      </c>
      <c r="B1238" s="66">
        <v>2346.0</v>
      </c>
      <c r="C1238" s="66">
        <v>1.0</v>
      </c>
      <c r="D1238" s="66" t="s">
        <v>204</v>
      </c>
      <c r="E1238" s="66">
        <v>1.0</v>
      </c>
      <c r="F1238" s="66">
        <v>0.9288</v>
      </c>
      <c r="G1238" s="66">
        <v>0.393</v>
      </c>
      <c r="H1238" s="66" t="s">
        <v>226</v>
      </c>
      <c r="I1238" s="81">
        <f t="shared" si="1"/>
        <v>1.363358779</v>
      </c>
      <c r="J1238" s="81">
        <f t="shared" si="2"/>
        <v>0.423126615</v>
      </c>
    </row>
    <row r="1239">
      <c r="A1239" s="82">
        <v>44706.0</v>
      </c>
      <c r="B1239" s="66">
        <v>2346.0</v>
      </c>
      <c r="C1239" s="66">
        <v>2.0</v>
      </c>
      <c r="D1239" s="66" t="s">
        <v>205</v>
      </c>
      <c r="E1239" s="66">
        <v>0.0</v>
      </c>
      <c r="F1239" s="66">
        <v>1.0328</v>
      </c>
      <c r="G1239" s="66">
        <v>0.437</v>
      </c>
      <c r="H1239" s="66" t="s">
        <v>226</v>
      </c>
      <c r="I1239" s="81">
        <f t="shared" si="1"/>
        <v>1.363386728</v>
      </c>
      <c r="J1239" s="81">
        <f t="shared" si="2"/>
        <v>0.4231216112</v>
      </c>
    </row>
    <row r="1240">
      <c r="A1240" s="82">
        <v>44706.0</v>
      </c>
      <c r="B1240" s="66">
        <v>2346.0</v>
      </c>
      <c r="C1240" s="66">
        <v>2.0</v>
      </c>
      <c r="D1240" s="66" t="s">
        <v>204</v>
      </c>
      <c r="E1240" s="66">
        <v>0.0</v>
      </c>
      <c r="F1240" s="66">
        <v>0.0781</v>
      </c>
      <c r="G1240" s="66">
        <v>0.033</v>
      </c>
      <c r="H1240" s="66" t="s">
        <v>226</v>
      </c>
      <c r="I1240" s="81">
        <f t="shared" si="1"/>
        <v>1.366666667</v>
      </c>
      <c r="J1240" s="81">
        <f t="shared" si="2"/>
        <v>0.4225352113</v>
      </c>
    </row>
    <row r="1241">
      <c r="A1241" s="82">
        <v>44706.0</v>
      </c>
      <c r="B1241" s="66">
        <v>2346.0</v>
      </c>
      <c r="C1241" s="66">
        <v>2.0</v>
      </c>
      <c r="D1241" s="66" t="s">
        <v>204</v>
      </c>
      <c r="E1241" s="66">
        <v>1.0</v>
      </c>
      <c r="F1241" s="66">
        <v>0.4704</v>
      </c>
      <c r="G1241" s="66">
        <v>0.1987</v>
      </c>
      <c r="I1241" s="81">
        <f t="shared" si="1"/>
        <v>1.367388022</v>
      </c>
      <c r="J1241" s="81">
        <f t="shared" si="2"/>
        <v>0.4224064626</v>
      </c>
    </row>
    <row r="1242">
      <c r="A1242" s="82">
        <v>44706.0</v>
      </c>
      <c r="B1242" s="66">
        <v>2346.0</v>
      </c>
      <c r="C1242" s="66">
        <v>3.0</v>
      </c>
      <c r="D1242" s="66" t="s">
        <v>205</v>
      </c>
      <c r="E1242" s="66">
        <v>0.0</v>
      </c>
      <c r="F1242" s="66">
        <v>0.1397</v>
      </c>
      <c r="G1242" s="66">
        <v>0.059</v>
      </c>
      <c r="I1242" s="81">
        <f t="shared" si="1"/>
        <v>1.36779661</v>
      </c>
      <c r="J1242" s="81">
        <f t="shared" si="2"/>
        <v>0.4223335719</v>
      </c>
    </row>
    <row r="1243">
      <c r="A1243" s="82">
        <v>44706.0</v>
      </c>
      <c r="B1243" s="66">
        <v>2346.0</v>
      </c>
      <c r="C1243" s="66">
        <v>3.0</v>
      </c>
      <c r="D1243" s="66" t="s">
        <v>204</v>
      </c>
      <c r="E1243" s="66">
        <v>0.0</v>
      </c>
      <c r="F1243" s="66">
        <v>0.0663</v>
      </c>
      <c r="G1243" s="66">
        <v>0.028</v>
      </c>
      <c r="H1243" s="66" t="s">
        <v>226</v>
      </c>
      <c r="I1243" s="81">
        <f t="shared" si="1"/>
        <v>1.367857143</v>
      </c>
      <c r="J1243" s="81">
        <f t="shared" si="2"/>
        <v>0.4223227753</v>
      </c>
    </row>
    <row r="1244">
      <c r="A1244" s="82">
        <v>44706.0</v>
      </c>
      <c r="B1244" s="66">
        <v>2346.0</v>
      </c>
      <c r="C1244" s="66">
        <v>3.0</v>
      </c>
      <c r="D1244" s="66" t="s">
        <v>204</v>
      </c>
      <c r="E1244" s="66">
        <v>1.0</v>
      </c>
      <c r="F1244" s="66">
        <v>0.2913</v>
      </c>
      <c r="G1244" s="66">
        <v>0.123</v>
      </c>
      <c r="H1244" s="66" t="s">
        <v>226</v>
      </c>
      <c r="I1244" s="81">
        <f t="shared" si="1"/>
        <v>1.368292683</v>
      </c>
      <c r="J1244" s="81">
        <f t="shared" si="2"/>
        <v>0.4222451081</v>
      </c>
    </row>
    <row r="1245">
      <c r="A1245" s="82">
        <v>44706.0</v>
      </c>
      <c r="B1245" s="66">
        <v>2347.0</v>
      </c>
      <c r="C1245" s="66">
        <v>1.0</v>
      </c>
      <c r="D1245" s="66" t="s">
        <v>205</v>
      </c>
      <c r="E1245" s="66">
        <v>0.0</v>
      </c>
      <c r="F1245" s="66">
        <v>0.131</v>
      </c>
      <c r="G1245" s="66">
        <v>0.0553</v>
      </c>
      <c r="I1245" s="81">
        <f t="shared" si="1"/>
        <v>1.368896926</v>
      </c>
      <c r="J1245" s="81">
        <f t="shared" si="2"/>
        <v>0.4221374046</v>
      </c>
    </row>
    <row r="1246">
      <c r="A1246" s="82">
        <v>44706.0</v>
      </c>
      <c r="B1246" s="66">
        <v>2347.0</v>
      </c>
      <c r="C1246" s="66">
        <v>1.0</v>
      </c>
      <c r="D1246" s="66" t="s">
        <v>204</v>
      </c>
      <c r="E1246" s="66">
        <v>0.0</v>
      </c>
      <c r="F1246" s="66">
        <v>0.602</v>
      </c>
      <c r="G1246" s="66">
        <v>0.254</v>
      </c>
      <c r="H1246" s="66" t="s">
        <v>229</v>
      </c>
      <c r="I1246" s="81">
        <f t="shared" si="1"/>
        <v>1.37007874</v>
      </c>
      <c r="J1246" s="81">
        <f t="shared" si="2"/>
        <v>0.4219269103</v>
      </c>
    </row>
    <row r="1247">
      <c r="A1247" s="82">
        <v>44706.0</v>
      </c>
      <c r="B1247" s="66">
        <v>2347.0</v>
      </c>
      <c r="C1247" s="66">
        <v>1.0</v>
      </c>
      <c r="D1247" s="66" t="s">
        <v>204</v>
      </c>
      <c r="E1247" s="66">
        <v>1.0</v>
      </c>
      <c r="F1247" s="66">
        <v>0.019</v>
      </c>
      <c r="G1247" s="66">
        <v>0.008</v>
      </c>
      <c r="H1247" s="66" t="s">
        <v>229</v>
      </c>
      <c r="I1247" s="81">
        <f t="shared" si="1"/>
        <v>1.375</v>
      </c>
      <c r="J1247" s="81">
        <f t="shared" si="2"/>
        <v>0.4210526316</v>
      </c>
    </row>
    <row r="1248">
      <c r="A1248" s="82">
        <v>44706.0</v>
      </c>
      <c r="B1248" s="66">
        <v>2347.0</v>
      </c>
      <c r="C1248" s="66">
        <v>2.0</v>
      </c>
      <c r="D1248" s="66" t="s">
        <v>205</v>
      </c>
      <c r="E1248" s="66">
        <v>0.0</v>
      </c>
      <c r="F1248" s="66">
        <v>0.1856</v>
      </c>
      <c r="G1248" s="66">
        <v>0.078</v>
      </c>
      <c r="H1248" s="66" t="s">
        <v>226</v>
      </c>
      <c r="I1248" s="81">
        <f t="shared" si="1"/>
        <v>1.379487179</v>
      </c>
      <c r="J1248" s="81">
        <f t="shared" si="2"/>
        <v>0.4202586207</v>
      </c>
    </row>
    <row r="1249">
      <c r="A1249" s="82">
        <v>44706.0</v>
      </c>
      <c r="B1249" s="66">
        <v>2347.0</v>
      </c>
      <c r="C1249" s="66">
        <v>2.0</v>
      </c>
      <c r="D1249" s="66" t="s">
        <v>204</v>
      </c>
      <c r="E1249" s="66">
        <v>0.0</v>
      </c>
      <c r="F1249" s="66">
        <v>0.328</v>
      </c>
      <c r="G1249" s="66">
        <v>0.1378</v>
      </c>
      <c r="I1249" s="81">
        <f t="shared" si="1"/>
        <v>1.380261248</v>
      </c>
      <c r="J1249" s="81">
        <f t="shared" si="2"/>
        <v>0.4201219512</v>
      </c>
    </row>
    <row r="1250">
      <c r="A1250" s="82">
        <v>44706.0</v>
      </c>
      <c r="B1250" s="66">
        <v>2347.0</v>
      </c>
      <c r="C1250" s="66">
        <v>2.0</v>
      </c>
      <c r="D1250" s="66" t="s">
        <v>204</v>
      </c>
      <c r="E1250" s="66">
        <v>1.0</v>
      </c>
      <c r="F1250" s="66">
        <v>0.0738</v>
      </c>
      <c r="G1250" s="66">
        <v>0.031</v>
      </c>
      <c r="H1250" s="66" t="s">
        <v>230</v>
      </c>
      <c r="I1250" s="81">
        <f t="shared" si="1"/>
        <v>1.380645161</v>
      </c>
      <c r="J1250" s="81">
        <f t="shared" si="2"/>
        <v>0.4200542005</v>
      </c>
    </row>
    <row r="1251">
      <c r="A1251" s="82">
        <v>44706.0</v>
      </c>
      <c r="B1251" s="66">
        <v>2347.0</v>
      </c>
      <c r="C1251" s="66">
        <v>3.0</v>
      </c>
      <c r="D1251" s="66" t="s">
        <v>205</v>
      </c>
      <c r="E1251" s="66">
        <v>0.0</v>
      </c>
      <c r="F1251" s="66">
        <v>0.7</v>
      </c>
      <c r="G1251" s="66">
        <v>0.294</v>
      </c>
      <c r="H1251" s="66" t="s">
        <v>229</v>
      </c>
      <c r="I1251" s="81">
        <f t="shared" si="1"/>
        <v>1.380952381</v>
      </c>
      <c r="J1251" s="81">
        <f t="shared" si="2"/>
        <v>0.42</v>
      </c>
    </row>
    <row r="1252">
      <c r="A1252" s="82">
        <v>44706.0</v>
      </c>
      <c r="B1252" s="66">
        <v>2347.0</v>
      </c>
      <c r="C1252" s="66">
        <v>3.0</v>
      </c>
      <c r="D1252" s="66" t="s">
        <v>204</v>
      </c>
      <c r="E1252" s="66">
        <v>0.0</v>
      </c>
      <c r="F1252" s="66">
        <v>0.2386</v>
      </c>
      <c r="G1252" s="66">
        <v>0.1002</v>
      </c>
      <c r="H1252" s="66" t="s">
        <v>226</v>
      </c>
      <c r="I1252" s="81">
        <f t="shared" si="1"/>
        <v>1.381237525</v>
      </c>
      <c r="J1252" s="81">
        <f t="shared" si="2"/>
        <v>0.4199497066</v>
      </c>
    </row>
    <row r="1253">
      <c r="A1253" s="82">
        <v>44706.0</v>
      </c>
      <c r="B1253" s="66">
        <v>2347.0</v>
      </c>
      <c r="C1253" s="66">
        <v>3.0</v>
      </c>
      <c r="D1253" s="66" t="s">
        <v>204</v>
      </c>
      <c r="E1253" s="66">
        <v>1.0</v>
      </c>
      <c r="F1253" s="66">
        <v>0.2386</v>
      </c>
      <c r="G1253" s="66">
        <v>0.1</v>
      </c>
      <c r="H1253" s="66" t="s">
        <v>226</v>
      </c>
      <c r="I1253" s="81">
        <f t="shared" si="1"/>
        <v>1.386</v>
      </c>
      <c r="J1253" s="81">
        <f t="shared" si="2"/>
        <v>0.4191114837</v>
      </c>
    </row>
    <row r="1254">
      <c r="A1254" s="82">
        <v>44706.0</v>
      </c>
      <c r="B1254" s="66">
        <v>2352.0</v>
      </c>
      <c r="C1254" s="66">
        <v>1.0</v>
      </c>
      <c r="D1254" s="66" t="s">
        <v>205</v>
      </c>
      <c r="E1254" s="66">
        <v>1.0</v>
      </c>
      <c r="F1254" s="66">
        <v>0.482</v>
      </c>
      <c r="G1254" s="66">
        <v>0.202</v>
      </c>
      <c r="H1254" s="66" t="s">
        <v>226</v>
      </c>
      <c r="I1254" s="81">
        <f t="shared" si="1"/>
        <v>1.386138614</v>
      </c>
      <c r="J1254" s="81">
        <f t="shared" si="2"/>
        <v>0.4190871369</v>
      </c>
    </row>
    <row r="1255">
      <c r="A1255" s="82">
        <v>44706.0</v>
      </c>
      <c r="B1255" s="66">
        <v>2352.0</v>
      </c>
      <c r="C1255" s="66">
        <v>1.0</v>
      </c>
      <c r="D1255" s="66" t="s">
        <v>204</v>
      </c>
      <c r="E1255" s="66">
        <v>1.0</v>
      </c>
      <c r="F1255" s="66">
        <v>0.1859</v>
      </c>
      <c r="G1255" s="66">
        <v>0.0779</v>
      </c>
      <c r="I1255" s="81">
        <f t="shared" si="1"/>
        <v>1.386392811</v>
      </c>
      <c r="J1255" s="81">
        <f t="shared" si="2"/>
        <v>0.419042496</v>
      </c>
    </row>
    <row r="1256">
      <c r="A1256" s="82">
        <v>44706.0</v>
      </c>
      <c r="B1256" s="66">
        <v>2352.0</v>
      </c>
      <c r="C1256" s="66">
        <v>2.0</v>
      </c>
      <c r="D1256" s="66" t="s">
        <v>205</v>
      </c>
      <c r="E1256" s="66">
        <v>1.0</v>
      </c>
      <c r="F1256" s="66">
        <v>0.83</v>
      </c>
      <c r="G1256" s="66">
        <v>0.347</v>
      </c>
      <c r="H1256" s="66" t="s">
        <v>229</v>
      </c>
      <c r="I1256" s="81">
        <f t="shared" si="1"/>
        <v>1.391930836</v>
      </c>
      <c r="J1256" s="81">
        <f t="shared" si="2"/>
        <v>0.4180722892</v>
      </c>
    </row>
    <row r="1257">
      <c r="A1257" s="82">
        <v>44706.0</v>
      </c>
      <c r="B1257" s="66">
        <v>2352.0</v>
      </c>
      <c r="C1257" s="66">
        <v>2.0</v>
      </c>
      <c r="D1257" s="66" t="s">
        <v>204</v>
      </c>
      <c r="E1257" s="66">
        <v>1.0</v>
      </c>
      <c r="F1257" s="66">
        <v>0.2117</v>
      </c>
      <c r="G1257" s="66">
        <v>0.0885</v>
      </c>
      <c r="H1257" s="66" t="s">
        <v>226</v>
      </c>
      <c r="I1257" s="81">
        <f t="shared" si="1"/>
        <v>1.392090395</v>
      </c>
      <c r="J1257" s="81">
        <f t="shared" si="2"/>
        <v>0.4180444025</v>
      </c>
    </row>
    <row r="1258">
      <c r="A1258" s="82">
        <v>44706.0</v>
      </c>
      <c r="B1258" s="66">
        <v>2352.0</v>
      </c>
      <c r="C1258" s="66">
        <v>3.0</v>
      </c>
      <c r="D1258" s="66" t="s">
        <v>205</v>
      </c>
      <c r="E1258" s="66">
        <v>1.0</v>
      </c>
      <c r="F1258" s="66">
        <v>0.0311</v>
      </c>
      <c r="G1258" s="66">
        <v>0.013</v>
      </c>
      <c r="H1258" s="66" t="s">
        <v>226</v>
      </c>
      <c r="I1258" s="81">
        <f t="shared" si="1"/>
        <v>1.392307692</v>
      </c>
      <c r="J1258" s="81">
        <f t="shared" si="2"/>
        <v>0.4180064309</v>
      </c>
    </row>
    <row r="1259">
      <c r="A1259" s="82">
        <v>44706.0</v>
      </c>
      <c r="B1259" s="66">
        <v>2352.0</v>
      </c>
      <c r="C1259" s="66">
        <v>3.0</v>
      </c>
      <c r="D1259" s="66" t="s">
        <v>204</v>
      </c>
      <c r="E1259" s="66">
        <v>1.0</v>
      </c>
      <c r="F1259" s="66">
        <v>0.1888</v>
      </c>
      <c r="G1259" s="66">
        <v>0.0789</v>
      </c>
      <c r="I1259" s="81">
        <f t="shared" si="1"/>
        <v>1.392902408</v>
      </c>
      <c r="J1259" s="81">
        <f t="shared" si="2"/>
        <v>0.4179025424</v>
      </c>
    </row>
    <row r="1260">
      <c r="A1260" s="82">
        <v>44706.0</v>
      </c>
      <c r="B1260" s="66">
        <v>2369.0</v>
      </c>
      <c r="C1260" s="66">
        <v>1.0</v>
      </c>
      <c r="D1260" s="66" t="s">
        <v>205</v>
      </c>
      <c r="E1260" s="66">
        <v>0.0</v>
      </c>
      <c r="F1260" s="66">
        <v>0.1532</v>
      </c>
      <c r="G1260" s="66">
        <v>0.064</v>
      </c>
      <c r="H1260" s="66" t="s">
        <v>226</v>
      </c>
      <c r="I1260" s="81">
        <f t="shared" si="1"/>
        <v>1.39375</v>
      </c>
      <c r="J1260" s="81">
        <f t="shared" si="2"/>
        <v>0.4177545692</v>
      </c>
    </row>
    <row r="1261">
      <c r="A1261" s="82">
        <v>44706.0</v>
      </c>
      <c r="B1261" s="66">
        <v>2369.0</v>
      </c>
      <c r="C1261" s="66">
        <v>1.0</v>
      </c>
      <c r="D1261" s="66" t="s">
        <v>204</v>
      </c>
      <c r="E1261" s="66">
        <v>0.0</v>
      </c>
      <c r="F1261" s="66">
        <v>0.0766</v>
      </c>
      <c r="G1261" s="66">
        <v>0.032</v>
      </c>
      <c r="H1261" s="66" t="s">
        <v>226</v>
      </c>
      <c r="I1261" s="81">
        <f t="shared" si="1"/>
        <v>1.39375</v>
      </c>
      <c r="J1261" s="81">
        <f t="shared" si="2"/>
        <v>0.4177545692</v>
      </c>
    </row>
    <row r="1262">
      <c r="A1262" s="82">
        <v>44706.0</v>
      </c>
      <c r="B1262" s="66">
        <v>2369.0</v>
      </c>
      <c r="C1262" s="66">
        <v>1.0</v>
      </c>
      <c r="D1262" s="66" t="s">
        <v>204</v>
      </c>
      <c r="E1262" s="66">
        <v>1.0</v>
      </c>
      <c r="F1262" s="66">
        <v>0.249</v>
      </c>
      <c r="G1262" s="66">
        <v>0.104</v>
      </c>
      <c r="H1262" s="66" t="s">
        <v>229</v>
      </c>
      <c r="I1262" s="81">
        <f t="shared" si="1"/>
        <v>1.394230769</v>
      </c>
      <c r="J1262" s="81">
        <f t="shared" si="2"/>
        <v>0.4176706827</v>
      </c>
    </row>
    <row r="1263">
      <c r="A1263" s="82">
        <v>44706.0</v>
      </c>
      <c r="B1263" s="66">
        <v>2369.0</v>
      </c>
      <c r="C1263" s="66">
        <v>2.0</v>
      </c>
      <c r="D1263" s="66" t="s">
        <v>205</v>
      </c>
      <c r="E1263" s="66">
        <v>0.0</v>
      </c>
      <c r="F1263" s="66">
        <v>0.0467</v>
      </c>
      <c r="G1263" s="66">
        <v>0.0195</v>
      </c>
      <c r="I1263" s="81">
        <f t="shared" si="1"/>
        <v>1.394871795</v>
      </c>
      <c r="J1263" s="81">
        <f t="shared" si="2"/>
        <v>0.4175588865</v>
      </c>
    </row>
    <row r="1264">
      <c r="A1264" s="82">
        <v>44706.0</v>
      </c>
      <c r="B1264" s="66">
        <v>2369.0</v>
      </c>
      <c r="C1264" s="66">
        <v>2.0</v>
      </c>
      <c r="D1264" s="66" t="s">
        <v>204</v>
      </c>
      <c r="E1264" s="66">
        <v>0.0</v>
      </c>
      <c r="F1264" s="66">
        <v>0.1198</v>
      </c>
      <c r="G1264" s="66">
        <v>0.05</v>
      </c>
      <c r="I1264" s="81">
        <f t="shared" si="1"/>
        <v>1.396</v>
      </c>
      <c r="J1264" s="81">
        <f t="shared" si="2"/>
        <v>0.4173622705</v>
      </c>
    </row>
    <row r="1265">
      <c r="A1265" s="82">
        <v>44706.0</v>
      </c>
      <c r="B1265" s="66">
        <v>2369.0</v>
      </c>
      <c r="C1265" s="66">
        <v>2.0</v>
      </c>
      <c r="D1265" s="66" t="s">
        <v>204</v>
      </c>
      <c r="E1265" s="66">
        <v>1.0</v>
      </c>
      <c r="F1265" s="66">
        <v>0.2001</v>
      </c>
      <c r="G1265" s="66">
        <v>0.0835</v>
      </c>
      <c r="I1265" s="81">
        <f t="shared" si="1"/>
        <v>1.396407186</v>
      </c>
      <c r="J1265" s="81">
        <f t="shared" si="2"/>
        <v>0.4172913543</v>
      </c>
    </row>
    <row r="1266">
      <c r="A1266" s="82">
        <v>44706.0</v>
      </c>
      <c r="B1266" s="66">
        <v>2369.0</v>
      </c>
      <c r="C1266" s="66">
        <v>3.0</v>
      </c>
      <c r="D1266" s="66" t="s">
        <v>205</v>
      </c>
      <c r="E1266" s="66">
        <v>0.0</v>
      </c>
      <c r="F1266" s="66">
        <v>0.2469</v>
      </c>
      <c r="G1266" s="66">
        <v>0.103</v>
      </c>
      <c r="H1266" s="66" t="s">
        <v>227</v>
      </c>
      <c r="I1266" s="81">
        <f t="shared" si="1"/>
        <v>1.397087379</v>
      </c>
      <c r="J1266" s="81">
        <f t="shared" si="2"/>
        <v>0.4171729445</v>
      </c>
    </row>
    <row r="1267">
      <c r="A1267" s="82">
        <v>44706.0</v>
      </c>
      <c r="B1267" s="66">
        <v>2369.0</v>
      </c>
      <c r="C1267" s="66">
        <v>3.0</v>
      </c>
      <c r="D1267" s="66" t="s">
        <v>204</v>
      </c>
      <c r="E1267" s="66">
        <v>0.0</v>
      </c>
      <c r="F1267" s="66">
        <v>1.35</v>
      </c>
      <c r="G1267" s="66">
        <v>0.563</v>
      </c>
      <c r="H1267" s="66" t="s">
        <v>228</v>
      </c>
      <c r="I1267" s="81">
        <f t="shared" si="1"/>
        <v>1.397868561</v>
      </c>
      <c r="J1267" s="81">
        <f t="shared" si="2"/>
        <v>0.417037037</v>
      </c>
    </row>
    <row r="1268">
      <c r="A1268" s="82">
        <v>44706.0</v>
      </c>
      <c r="B1268" s="66">
        <v>2369.0</v>
      </c>
      <c r="C1268" s="66">
        <v>3.0</v>
      </c>
      <c r="D1268" s="66" t="s">
        <v>204</v>
      </c>
      <c r="E1268" s="66">
        <v>1.0</v>
      </c>
      <c r="F1268" s="66">
        <v>1.1492</v>
      </c>
      <c r="G1268" s="66">
        <v>0.479</v>
      </c>
      <c r="H1268" s="66" t="s">
        <v>226</v>
      </c>
      <c r="I1268" s="81">
        <f t="shared" si="1"/>
        <v>1.399164927</v>
      </c>
      <c r="J1268" s="81">
        <f t="shared" si="2"/>
        <v>0.4168116951</v>
      </c>
    </row>
    <row r="1269">
      <c r="A1269" s="82">
        <v>44706.0</v>
      </c>
      <c r="B1269" s="66">
        <v>2370.0</v>
      </c>
      <c r="C1269" s="66">
        <v>1.0</v>
      </c>
      <c r="D1269" s="66" t="s">
        <v>205</v>
      </c>
      <c r="E1269" s="66">
        <v>0.0</v>
      </c>
      <c r="F1269" s="66">
        <v>0.1356</v>
      </c>
      <c r="G1269" s="66">
        <v>0.0565</v>
      </c>
      <c r="H1269" s="66" t="s">
        <v>226</v>
      </c>
      <c r="I1269" s="81">
        <f t="shared" si="1"/>
        <v>1.4</v>
      </c>
      <c r="J1269" s="81">
        <f t="shared" si="2"/>
        <v>0.4166666667</v>
      </c>
    </row>
    <row r="1270">
      <c r="A1270" s="82">
        <v>44706.0</v>
      </c>
      <c r="B1270" s="66">
        <v>2370.0</v>
      </c>
      <c r="C1270" s="66">
        <v>1.0</v>
      </c>
      <c r="D1270" s="66" t="s">
        <v>204</v>
      </c>
      <c r="E1270" s="66">
        <v>0.0</v>
      </c>
      <c r="F1270" s="66">
        <v>0.0909</v>
      </c>
      <c r="G1270" s="66">
        <v>0.0378</v>
      </c>
      <c r="I1270" s="81">
        <f t="shared" si="1"/>
        <v>1.404761905</v>
      </c>
      <c r="J1270" s="81">
        <f t="shared" si="2"/>
        <v>0.4158415842</v>
      </c>
    </row>
    <row r="1271">
      <c r="A1271" s="82">
        <v>44706.0</v>
      </c>
      <c r="B1271" s="66">
        <v>2370.0</v>
      </c>
      <c r="C1271" s="66">
        <v>1.0</v>
      </c>
      <c r="D1271" s="66" t="s">
        <v>204</v>
      </c>
      <c r="E1271" s="66">
        <v>1.0</v>
      </c>
      <c r="F1271" s="66">
        <v>1.648</v>
      </c>
      <c r="G1271" s="66">
        <v>0.685</v>
      </c>
      <c r="H1271" s="66" t="s">
        <v>228</v>
      </c>
      <c r="I1271" s="81">
        <f t="shared" si="1"/>
        <v>1.405839416</v>
      </c>
      <c r="J1271" s="81">
        <f t="shared" si="2"/>
        <v>0.4156553398</v>
      </c>
    </row>
    <row r="1272">
      <c r="A1272" s="82">
        <v>44706.0</v>
      </c>
      <c r="B1272" s="66">
        <v>2370.0</v>
      </c>
      <c r="C1272" s="66">
        <v>2.0</v>
      </c>
      <c r="D1272" s="66" t="s">
        <v>205</v>
      </c>
      <c r="E1272" s="66">
        <v>0.0</v>
      </c>
      <c r="F1272" s="66">
        <v>0.1252</v>
      </c>
      <c r="G1272" s="66">
        <v>0.052</v>
      </c>
      <c r="H1272" s="66" t="s">
        <v>226</v>
      </c>
      <c r="I1272" s="81">
        <f t="shared" si="1"/>
        <v>1.407692308</v>
      </c>
      <c r="J1272" s="81">
        <f t="shared" si="2"/>
        <v>0.4153354633</v>
      </c>
    </row>
    <row r="1273">
      <c r="A1273" s="82">
        <v>44706.0</v>
      </c>
      <c r="B1273" s="66">
        <v>2370.0</v>
      </c>
      <c r="C1273" s="66">
        <v>2.0</v>
      </c>
      <c r="D1273" s="66" t="s">
        <v>204</v>
      </c>
      <c r="E1273" s="66">
        <v>0.0</v>
      </c>
      <c r="F1273" s="66">
        <v>0.1127</v>
      </c>
      <c r="G1273" s="66">
        <v>0.0468</v>
      </c>
      <c r="I1273" s="81">
        <f t="shared" si="1"/>
        <v>1.408119658</v>
      </c>
      <c r="J1273" s="81">
        <f t="shared" si="2"/>
        <v>0.4152617569</v>
      </c>
    </row>
    <row r="1274">
      <c r="A1274" s="82">
        <v>44706.0</v>
      </c>
      <c r="B1274" s="66">
        <v>2370.0</v>
      </c>
      <c r="C1274" s="66">
        <v>2.0</v>
      </c>
      <c r="D1274" s="66" t="s">
        <v>204</v>
      </c>
      <c r="E1274" s="66">
        <v>1.0</v>
      </c>
      <c r="F1274" s="66">
        <v>1.549</v>
      </c>
      <c r="G1274" s="66">
        <v>0.642</v>
      </c>
      <c r="H1274" s="66" t="s">
        <v>229</v>
      </c>
      <c r="I1274" s="81">
        <f t="shared" si="1"/>
        <v>1.412772586</v>
      </c>
      <c r="J1274" s="81">
        <f t="shared" si="2"/>
        <v>0.4144609425</v>
      </c>
    </row>
    <row r="1275">
      <c r="A1275" s="82">
        <v>44706.0</v>
      </c>
      <c r="B1275" s="66">
        <v>2370.0</v>
      </c>
      <c r="C1275" s="66">
        <v>3.0</v>
      </c>
      <c r="D1275" s="66" t="s">
        <v>205</v>
      </c>
      <c r="E1275" s="66">
        <v>0.0</v>
      </c>
      <c r="F1275" s="66">
        <v>0.0828</v>
      </c>
      <c r="G1275" s="66">
        <v>0.0343</v>
      </c>
      <c r="I1275" s="81">
        <f t="shared" si="1"/>
        <v>1.413994169</v>
      </c>
      <c r="J1275" s="81">
        <f t="shared" si="2"/>
        <v>0.4142512077</v>
      </c>
    </row>
    <row r="1276">
      <c r="A1276" s="82">
        <v>44706.0</v>
      </c>
      <c r="B1276" s="66">
        <v>2370.0</v>
      </c>
      <c r="C1276" s="66">
        <v>3.0</v>
      </c>
      <c r="D1276" s="66" t="s">
        <v>204</v>
      </c>
      <c r="E1276" s="66">
        <v>0.0</v>
      </c>
      <c r="F1276" s="66">
        <v>0.1739</v>
      </c>
      <c r="G1276" s="66">
        <v>0.072</v>
      </c>
      <c r="H1276" s="66" t="s">
        <v>226</v>
      </c>
      <c r="I1276" s="81">
        <f t="shared" si="1"/>
        <v>1.415277778</v>
      </c>
      <c r="J1276" s="81">
        <f t="shared" si="2"/>
        <v>0.4140310523</v>
      </c>
    </row>
    <row r="1277">
      <c r="A1277" s="82">
        <v>44706.0</v>
      </c>
      <c r="B1277" s="66">
        <v>2370.0</v>
      </c>
      <c r="C1277" s="66">
        <v>3.0</v>
      </c>
      <c r="D1277" s="66" t="s">
        <v>204</v>
      </c>
      <c r="E1277" s="66">
        <v>1.0</v>
      </c>
      <c r="F1277" s="66">
        <v>0.266</v>
      </c>
      <c r="G1277" s="66">
        <v>0.11</v>
      </c>
      <c r="H1277" s="66" t="s">
        <v>229</v>
      </c>
      <c r="I1277" s="81">
        <f t="shared" si="1"/>
        <v>1.418181818</v>
      </c>
      <c r="J1277" s="81">
        <f t="shared" si="2"/>
        <v>0.4135338346</v>
      </c>
    </row>
    <row r="1278">
      <c r="A1278" s="82">
        <v>44706.0</v>
      </c>
      <c r="B1278" s="66">
        <v>2371.0</v>
      </c>
      <c r="C1278" s="66">
        <v>1.0</v>
      </c>
      <c r="D1278" s="66" t="s">
        <v>205</v>
      </c>
      <c r="E1278" s="66">
        <v>0.0</v>
      </c>
      <c r="F1278" s="66">
        <v>0.0499</v>
      </c>
      <c r="G1278" s="66">
        <v>0.0206</v>
      </c>
      <c r="H1278" s="66" t="s">
        <v>226</v>
      </c>
      <c r="I1278" s="81">
        <f t="shared" si="1"/>
        <v>1.422330097</v>
      </c>
      <c r="J1278" s="81">
        <f t="shared" si="2"/>
        <v>0.4128256513</v>
      </c>
    </row>
    <row r="1279">
      <c r="A1279" s="82">
        <v>44706.0</v>
      </c>
      <c r="B1279" s="66">
        <v>2371.0</v>
      </c>
      <c r="C1279" s="66">
        <v>1.0</v>
      </c>
      <c r="D1279" s="66" t="s">
        <v>204</v>
      </c>
      <c r="E1279" s="66">
        <v>1.0</v>
      </c>
      <c r="F1279" s="66">
        <v>0.1841</v>
      </c>
      <c r="G1279" s="66">
        <v>0.076</v>
      </c>
      <c r="I1279" s="81">
        <f t="shared" si="1"/>
        <v>1.422368421</v>
      </c>
      <c r="J1279" s="81">
        <f t="shared" si="2"/>
        <v>0.41281912</v>
      </c>
    </row>
    <row r="1280">
      <c r="A1280" s="82">
        <v>44706.0</v>
      </c>
      <c r="B1280" s="66">
        <v>2371.0</v>
      </c>
      <c r="C1280" s="66">
        <v>2.0</v>
      </c>
      <c r="D1280" s="66" t="s">
        <v>205</v>
      </c>
      <c r="E1280" s="66">
        <v>0.0</v>
      </c>
      <c r="F1280" s="66">
        <v>1.2576</v>
      </c>
      <c r="G1280" s="66">
        <v>0.519</v>
      </c>
      <c r="H1280" s="66" t="s">
        <v>226</v>
      </c>
      <c r="I1280" s="81">
        <f t="shared" si="1"/>
        <v>1.423121387</v>
      </c>
      <c r="J1280" s="81">
        <f t="shared" si="2"/>
        <v>0.4126908397</v>
      </c>
    </row>
    <row r="1281">
      <c r="A1281" s="82">
        <v>44706.0</v>
      </c>
      <c r="B1281" s="66">
        <v>2371.0</v>
      </c>
      <c r="C1281" s="66">
        <v>2.0</v>
      </c>
      <c r="D1281" s="66" t="s">
        <v>204</v>
      </c>
      <c r="E1281" s="66">
        <v>0.0</v>
      </c>
      <c r="F1281" s="66">
        <v>0.0795</v>
      </c>
      <c r="G1281" s="66">
        <v>0.0328</v>
      </c>
      <c r="I1281" s="81">
        <f t="shared" si="1"/>
        <v>1.423780488</v>
      </c>
      <c r="J1281" s="81">
        <f t="shared" si="2"/>
        <v>0.4125786164</v>
      </c>
    </row>
    <row r="1282">
      <c r="A1282" s="82">
        <v>44706.0</v>
      </c>
      <c r="B1282" s="66">
        <v>2371.0</v>
      </c>
      <c r="C1282" s="66">
        <v>2.0</v>
      </c>
      <c r="D1282" s="66" t="s">
        <v>204</v>
      </c>
      <c r="E1282" s="66">
        <v>1.0</v>
      </c>
      <c r="F1282" s="66">
        <v>0.31658</v>
      </c>
      <c r="G1282" s="66">
        <v>0.1306</v>
      </c>
      <c r="I1282" s="81">
        <f t="shared" si="1"/>
        <v>1.424042879</v>
      </c>
      <c r="J1282" s="81">
        <f t="shared" si="2"/>
        <v>0.4125339567</v>
      </c>
    </row>
    <row r="1283">
      <c r="A1283" s="82">
        <v>44706.0</v>
      </c>
      <c r="B1283" s="66">
        <v>2371.0</v>
      </c>
      <c r="C1283" s="66">
        <v>3.0</v>
      </c>
      <c r="D1283" s="66" t="s">
        <v>205</v>
      </c>
      <c r="E1283" s="66">
        <v>0.0</v>
      </c>
      <c r="F1283" s="66">
        <v>0.0442</v>
      </c>
      <c r="G1283" s="66">
        <v>0.0182</v>
      </c>
      <c r="H1283" s="66" t="s">
        <v>226</v>
      </c>
      <c r="I1283" s="81">
        <f t="shared" si="1"/>
        <v>1.428571429</v>
      </c>
      <c r="J1283" s="81">
        <f t="shared" si="2"/>
        <v>0.4117647059</v>
      </c>
    </row>
    <row r="1284">
      <c r="A1284" s="82">
        <v>44706.0</v>
      </c>
      <c r="B1284" s="66">
        <v>2371.0</v>
      </c>
      <c r="C1284" s="66">
        <v>3.0</v>
      </c>
      <c r="D1284" s="66" t="s">
        <v>204</v>
      </c>
      <c r="E1284" s="66">
        <v>0.0</v>
      </c>
      <c r="F1284" s="66">
        <v>0.068</v>
      </c>
      <c r="G1284" s="66">
        <v>0.028</v>
      </c>
      <c r="H1284" s="66" t="s">
        <v>227</v>
      </c>
      <c r="I1284" s="81">
        <f t="shared" si="1"/>
        <v>1.428571429</v>
      </c>
      <c r="J1284" s="81">
        <f t="shared" si="2"/>
        <v>0.4117647059</v>
      </c>
    </row>
    <row r="1285">
      <c r="A1285" s="82">
        <v>44706.0</v>
      </c>
      <c r="B1285" s="66">
        <v>2371.0</v>
      </c>
      <c r="C1285" s="66">
        <v>3.0</v>
      </c>
      <c r="D1285" s="66" t="s">
        <v>204</v>
      </c>
      <c r="E1285" s="66">
        <v>1.0</v>
      </c>
      <c r="F1285" s="66">
        <v>0.1628</v>
      </c>
      <c r="G1285" s="66">
        <v>0.067</v>
      </c>
      <c r="H1285" s="66" t="s">
        <v>226</v>
      </c>
      <c r="I1285" s="81">
        <f t="shared" si="1"/>
        <v>1.429850746</v>
      </c>
      <c r="J1285" s="81">
        <f t="shared" si="2"/>
        <v>0.4115479115</v>
      </c>
    </row>
    <row r="1286">
      <c r="A1286" s="82">
        <v>44706.0</v>
      </c>
      <c r="B1286" s="66">
        <v>2372.0</v>
      </c>
      <c r="C1286" s="66">
        <v>1.0</v>
      </c>
      <c r="D1286" s="66" t="s">
        <v>205</v>
      </c>
      <c r="E1286" s="66">
        <v>0.0</v>
      </c>
      <c r="F1286" s="66">
        <v>0.1095</v>
      </c>
      <c r="G1286" s="66">
        <v>0.045</v>
      </c>
      <c r="H1286" s="66" t="s">
        <v>226</v>
      </c>
      <c r="I1286" s="81">
        <f t="shared" si="1"/>
        <v>1.433333333</v>
      </c>
      <c r="J1286" s="81">
        <f t="shared" si="2"/>
        <v>0.4109589041</v>
      </c>
    </row>
    <row r="1287">
      <c r="A1287" s="82">
        <v>44706.0</v>
      </c>
      <c r="B1287" s="66">
        <v>2372.0</v>
      </c>
      <c r="C1287" s="66">
        <v>1.0</v>
      </c>
      <c r="D1287" s="66" t="s">
        <v>204</v>
      </c>
      <c r="E1287" s="66">
        <v>0.0</v>
      </c>
      <c r="F1287" s="66">
        <v>1.03</v>
      </c>
      <c r="G1287" s="66">
        <v>0.423</v>
      </c>
      <c r="H1287" s="66" t="s">
        <v>229</v>
      </c>
      <c r="I1287" s="81">
        <f t="shared" si="1"/>
        <v>1.43498818</v>
      </c>
      <c r="J1287" s="81">
        <f t="shared" si="2"/>
        <v>0.4106796117</v>
      </c>
    </row>
    <row r="1288">
      <c r="A1288" s="82">
        <v>44706.0</v>
      </c>
      <c r="B1288" s="66">
        <v>2372.0</v>
      </c>
      <c r="C1288" s="66">
        <v>1.0</v>
      </c>
      <c r="D1288" s="66" t="s">
        <v>204</v>
      </c>
      <c r="E1288" s="66">
        <v>1.0</v>
      </c>
      <c r="F1288" s="66">
        <v>0.1758</v>
      </c>
      <c r="G1288" s="66">
        <v>0.072</v>
      </c>
      <c r="I1288" s="81">
        <f t="shared" si="1"/>
        <v>1.441666667</v>
      </c>
      <c r="J1288" s="81">
        <f t="shared" si="2"/>
        <v>0.409556314</v>
      </c>
    </row>
    <row r="1289">
      <c r="A1289" s="82">
        <v>44706.0</v>
      </c>
      <c r="B1289" s="66">
        <v>2372.0</v>
      </c>
      <c r="C1289" s="66">
        <v>2.0</v>
      </c>
      <c r="D1289" s="66" t="s">
        <v>205</v>
      </c>
      <c r="E1289" s="66">
        <v>0.0</v>
      </c>
      <c r="F1289" s="66">
        <v>0.232</v>
      </c>
      <c r="G1289" s="66">
        <v>0.095</v>
      </c>
      <c r="H1289" s="66" t="s">
        <v>226</v>
      </c>
      <c r="I1289" s="81">
        <f t="shared" si="1"/>
        <v>1.442105263</v>
      </c>
      <c r="J1289" s="81">
        <f t="shared" si="2"/>
        <v>0.4094827586</v>
      </c>
    </row>
    <row r="1290">
      <c r="A1290" s="82">
        <v>44706.0</v>
      </c>
      <c r="B1290" s="66">
        <v>2372.0</v>
      </c>
      <c r="C1290" s="66">
        <v>2.0</v>
      </c>
      <c r="D1290" s="66" t="s">
        <v>204</v>
      </c>
      <c r="E1290" s="66">
        <v>0.0</v>
      </c>
      <c r="F1290" s="66">
        <v>0.0547</v>
      </c>
      <c r="G1290" s="66">
        <v>0.0223</v>
      </c>
      <c r="H1290" s="66" t="s">
        <v>226</v>
      </c>
      <c r="I1290" s="81">
        <f t="shared" si="1"/>
        <v>1.452914798</v>
      </c>
      <c r="J1290" s="81">
        <f t="shared" si="2"/>
        <v>0.407678245</v>
      </c>
    </row>
    <row r="1291">
      <c r="A1291" s="82">
        <v>44706.0</v>
      </c>
      <c r="B1291" s="66">
        <v>2372.0</v>
      </c>
      <c r="C1291" s="66">
        <v>2.0</v>
      </c>
      <c r="D1291" s="66" t="s">
        <v>204</v>
      </c>
      <c r="E1291" s="66">
        <v>0.0</v>
      </c>
      <c r="F1291" s="66">
        <v>0.1678</v>
      </c>
      <c r="G1291" s="66">
        <v>0.0684</v>
      </c>
      <c r="I1291" s="81">
        <f t="shared" si="1"/>
        <v>1.453216374</v>
      </c>
      <c r="J1291" s="81">
        <f t="shared" si="2"/>
        <v>0.4076281287</v>
      </c>
    </row>
    <row r="1292">
      <c r="A1292" s="82">
        <v>44706.0</v>
      </c>
      <c r="B1292" s="66">
        <v>2372.0</v>
      </c>
      <c r="C1292" s="66">
        <v>2.0</v>
      </c>
      <c r="D1292" s="66" t="s">
        <v>204</v>
      </c>
      <c r="E1292" s="66">
        <v>1.0</v>
      </c>
      <c r="F1292" s="66">
        <v>0.3259</v>
      </c>
      <c r="G1292" s="66">
        <v>0.1328</v>
      </c>
      <c r="H1292" s="66" t="s">
        <v>226</v>
      </c>
      <c r="I1292" s="81">
        <f t="shared" si="1"/>
        <v>1.454066265</v>
      </c>
      <c r="J1292" s="81">
        <f t="shared" si="2"/>
        <v>0.4074869592</v>
      </c>
    </row>
    <row r="1293">
      <c r="A1293" s="82">
        <v>44706.0</v>
      </c>
      <c r="B1293" s="66">
        <v>2372.0</v>
      </c>
      <c r="C1293" s="66">
        <v>3.0</v>
      </c>
      <c r="D1293" s="66" t="s">
        <v>205</v>
      </c>
      <c r="E1293" s="66">
        <v>3.0</v>
      </c>
      <c r="F1293" s="66">
        <v>0.764</v>
      </c>
      <c r="G1293" s="66">
        <v>0.311</v>
      </c>
      <c r="H1293" s="66" t="s">
        <v>229</v>
      </c>
      <c r="I1293" s="81">
        <f t="shared" si="1"/>
        <v>1.45659164</v>
      </c>
      <c r="J1293" s="81">
        <f t="shared" si="2"/>
        <v>0.4070680628</v>
      </c>
    </row>
    <row r="1294">
      <c r="A1294" s="82">
        <v>44706.0</v>
      </c>
      <c r="B1294" s="66">
        <v>2372.0</v>
      </c>
      <c r="C1294" s="66">
        <v>3.0</v>
      </c>
      <c r="D1294" s="66" t="s">
        <v>204</v>
      </c>
      <c r="E1294" s="66">
        <v>1.0</v>
      </c>
      <c r="F1294" s="66">
        <v>0.2413</v>
      </c>
      <c r="G1294" s="66">
        <v>0.098</v>
      </c>
      <c r="I1294" s="81">
        <f t="shared" si="1"/>
        <v>1.462244898</v>
      </c>
      <c r="J1294" s="81">
        <f t="shared" si="2"/>
        <v>0.4061334438</v>
      </c>
    </row>
    <row r="1295">
      <c r="A1295" s="82">
        <v>44706.0</v>
      </c>
      <c r="B1295" s="66">
        <v>2374.0</v>
      </c>
      <c r="C1295" s="66">
        <v>1.0</v>
      </c>
      <c r="D1295" s="66" t="s">
        <v>204</v>
      </c>
      <c r="E1295" s="66">
        <v>0.0</v>
      </c>
      <c r="F1295" s="66">
        <v>0.1252</v>
      </c>
      <c r="G1295" s="66">
        <v>0.0508</v>
      </c>
      <c r="H1295" s="66" t="s">
        <v>226</v>
      </c>
      <c r="I1295" s="81">
        <f t="shared" si="1"/>
        <v>1.464566929</v>
      </c>
      <c r="J1295" s="81">
        <f t="shared" si="2"/>
        <v>0.4057507987</v>
      </c>
    </row>
    <row r="1296">
      <c r="A1296" s="82">
        <v>44706.0</v>
      </c>
      <c r="B1296" s="66">
        <v>2375.0</v>
      </c>
      <c r="C1296" s="66">
        <v>1.0</v>
      </c>
      <c r="D1296" s="66" t="s">
        <v>205</v>
      </c>
      <c r="E1296" s="66">
        <v>0.0</v>
      </c>
      <c r="F1296" s="66">
        <v>0.915</v>
      </c>
      <c r="G1296" s="66">
        <v>0.371</v>
      </c>
      <c r="H1296" s="66" t="s">
        <v>229</v>
      </c>
      <c r="I1296" s="81">
        <f t="shared" si="1"/>
        <v>1.466307278</v>
      </c>
      <c r="J1296" s="81">
        <f t="shared" si="2"/>
        <v>0.4054644809</v>
      </c>
    </row>
    <row r="1297">
      <c r="A1297" s="82">
        <v>44706.0</v>
      </c>
      <c r="B1297" s="66">
        <v>2375.0</v>
      </c>
      <c r="C1297" s="66">
        <v>1.0</v>
      </c>
      <c r="D1297" s="66" t="s">
        <v>204</v>
      </c>
      <c r="E1297" s="66">
        <v>0.0</v>
      </c>
      <c r="F1297" s="66">
        <v>0.0671</v>
      </c>
      <c r="G1297" s="66">
        <v>0.0272</v>
      </c>
      <c r="I1297" s="81">
        <f t="shared" si="1"/>
        <v>1.466911765</v>
      </c>
      <c r="J1297" s="81">
        <f t="shared" si="2"/>
        <v>0.4053651267</v>
      </c>
    </row>
    <row r="1298">
      <c r="A1298" s="82">
        <v>44706.0</v>
      </c>
      <c r="B1298" s="66">
        <v>2375.0</v>
      </c>
      <c r="C1298" s="66">
        <v>1.0</v>
      </c>
      <c r="D1298" s="66" t="s">
        <v>204</v>
      </c>
      <c r="E1298" s="66">
        <v>1.0</v>
      </c>
      <c r="F1298" s="66">
        <v>0.0499</v>
      </c>
      <c r="G1298" s="66">
        <v>0.0202</v>
      </c>
      <c r="I1298" s="81">
        <f t="shared" si="1"/>
        <v>1.47029703</v>
      </c>
      <c r="J1298" s="81">
        <f t="shared" si="2"/>
        <v>0.4048096192</v>
      </c>
    </row>
    <row r="1299">
      <c r="A1299" s="82">
        <v>44706.0</v>
      </c>
      <c r="B1299" s="66">
        <v>2375.0</v>
      </c>
      <c r="C1299" s="66">
        <v>2.0</v>
      </c>
      <c r="D1299" s="66" t="s">
        <v>205</v>
      </c>
      <c r="E1299" s="66">
        <v>0.0</v>
      </c>
      <c r="F1299" s="66">
        <v>0.1745</v>
      </c>
      <c r="G1299" s="66">
        <v>0.0706</v>
      </c>
      <c r="H1299" s="66" t="s">
        <v>226</v>
      </c>
      <c r="I1299" s="81">
        <f t="shared" si="1"/>
        <v>1.471671388</v>
      </c>
      <c r="J1299" s="81">
        <f t="shared" si="2"/>
        <v>0.4045845272</v>
      </c>
    </row>
    <row r="1300">
      <c r="A1300" s="82">
        <v>44706.0</v>
      </c>
      <c r="B1300" s="66">
        <v>2375.0</v>
      </c>
      <c r="C1300" s="66">
        <v>2.0</v>
      </c>
      <c r="D1300" s="66" t="s">
        <v>204</v>
      </c>
      <c r="E1300" s="66">
        <v>0.0</v>
      </c>
      <c r="F1300" s="66">
        <v>0.1854</v>
      </c>
      <c r="G1300" s="66">
        <v>0.075</v>
      </c>
      <c r="H1300" s="66" t="s">
        <v>226</v>
      </c>
      <c r="I1300" s="81">
        <f t="shared" si="1"/>
        <v>1.472</v>
      </c>
      <c r="J1300" s="81">
        <f t="shared" si="2"/>
        <v>0.4045307443</v>
      </c>
    </row>
    <row r="1301">
      <c r="A1301" s="82">
        <v>44706.0</v>
      </c>
      <c r="B1301" s="66">
        <v>2375.0</v>
      </c>
      <c r="C1301" s="66">
        <v>2.0</v>
      </c>
      <c r="D1301" s="66" t="s">
        <v>204</v>
      </c>
      <c r="E1301" s="66">
        <v>1.0</v>
      </c>
      <c r="F1301" s="66">
        <v>0.2863</v>
      </c>
      <c r="G1301" s="66">
        <v>0.1156</v>
      </c>
      <c r="I1301" s="81">
        <f t="shared" si="1"/>
        <v>1.476643599</v>
      </c>
      <c r="J1301" s="81">
        <f t="shared" si="2"/>
        <v>0.4037722669</v>
      </c>
    </row>
    <row r="1302">
      <c r="A1302" s="82">
        <v>44706.0</v>
      </c>
      <c r="B1302" s="66">
        <v>2375.0</v>
      </c>
      <c r="C1302" s="66">
        <v>3.0</v>
      </c>
      <c r="D1302" s="66" t="s">
        <v>205</v>
      </c>
      <c r="E1302" s="66">
        <v>0.0</v>
      </c>
      <c r="F1302" s="66">
        <v>1.562</v>
      </c>
      <c r="G1302" s="66">
        <v>0.63</v>
      </c>
      <c r="H1302" s="66" t="s">
        <v>229</v>
      </c>
      <c r="I1302" s="81">
        <f t="shared" si="1"/>
        <v>1.479365079</v>
      </c>
      <c r="J1302" s="81">
        <f t="shared" si="2"/>
        <v>0.4033290653</v>
      </c>
    </row>
    <row r="1303">
      <c r="A1303" s="82">
        <v>44706.0</v>
      </c>
      <c r="B1303" s="66">
        <v>2375.0</v>
      </c>
      <c r="C1303" s="66">
        <v>3.0</v>
      </c>
      <c r="D1303" s="66" t="s">
        <v>204</v>
      </c>
      <c r="E1303" s="66">
        <v>0.0</v>
      </c>
      <c r="F1303" s="66">
        <v>0.436</v>
      </c>
      <c r="G1303" s="66">
        <v>0.1757</v>
      </c>
      <c r="I1303" s="81">
        <f t="shared" si="1"/>
        <v>1.481502561</v>
      </c>
      <c r="J1303" s="81">
        <f t="shared" si="2"/>
        <v>0.4029816514</v>
      </c>
    </row>
    <row r="1304">
      <c r="A1304" s="82">
        <v>44706.0</v>
      </c>
      <c r="B1304" s="66">
        <v>2375.0</v>
      </c>
      <c r="C1304" s="66">
        <v>3.0</v>
      </c>
      <c r="D1304" s="66" t="s">
        <v>204</v>
      </c>
      <c r="E1304" s="66">
        <v>1.0</v>
      </c>
      <c r="F1304" s="66">
        <v>0.0752</v>
      </c>
      <c r="G1304" s="66">
        <v>0.0303</v>
      </c>
      <c r="H1304" s="66" t="s">
        <v>226</v>
      </c>
      <c r="I1304" s="81">
        <f t="shared" si="1"/>
        <v>1.481848185</v>
      </c>
      <c r="J1304" s="81">
        <f t="shared" si="2"/>
        <v>0.4029255319</v>
      </c>
    </row>
    <row r="1305">
      <c r="A1305" s="82">
        <v>44706.0</v>
      </c>
      <c r="B1305" s="66">
        <v>2377.0</v>
      </c>
      <c r="C1305" s="66">
        <v>2.0</v>
      </c>
      <c r="D1305" s="66" t="s">
        <v>205</v>
      </c>
      <c r="E1305" s="66">
        <v>0.0</v>
      </c>
      <c r="F1305" s="66">
        <v>0.1045</v>
      </c>
      <c r="G1305" s="66">
        <v>0.042</v>
      </c>
      <c r="H1305" s="66" t="s">
        <v>226</v>
      </c>
      <c r="I1305" s="81">
        <f t="shared" si="1"/>
        <v>1.488095238</v>
      </c>
      <c r="J1305" s="81">
        <f t="shared" si="2"/>
        <v>0.4019138756</v>
      </c>
    </row>
    <row r="1306">
      <c r="A1306" s="82">
        <v>44706.0</v>
      </c>
      <c r="B1306" s="66">
        <v>2378.0</v>
      </c>
      <c r="C1306" s="66">
        <v>1.0</v>
      </c>
      <c r="D1306" s="66" t="s">
        <v>205</v>
      </c>
      <c r="E1306" s="66">
        <v>0.0</v>
      </c>
      <c r="F1306" s="66">
        <v>0.5771</v>
      </c>
      <c r="G1306" s="66">
        <v>0.2319</v>
      </c>
      <c r="I1306" s="81">
        <f t="shared" si="1"/>
        <v>1.488572661</v>
      </c>
      <c r="J1306" s="81">
        <f t="shared" si="2"/>
        <v>0.4018367701</v>
      </c>
    </row>
    <row r="1307">
      <c r="A1307" s="82">
        <v>44706.0</v>
      </c>
      <c r="B1307" s="66">
        <v>2378.0</v>
      </c>
      <c r="C1307" s="66">
        <v>1.0</v>
      </c>
      <c r="D1307" s="66" t="s">
        <v>204</v>
      </c>
      <c r="E1307" s="66">
        <v>0.0</v>
      </c>
      <c r="F1307" s="66">
        <v>0.1334</v>
      </c>
      <c r="G1307" s="66">
        <v>0.0536</v>
      </c>
      <c r="H1307" s="66" t="s">
        <v>226</v>
      </c>
      <c r="I1307" s="81">
        <f t="shared" si="1"/>
        <v>1.48880597</v>
      </c>
      <c r="J1307" s="81">
        <f t="shared" si="2"/>
        <v>0.4017991004</v>
      </c>
    </row>
    <row r="1308">
      <c r="A1308" s="82">
        <v>44706.0</v>
      </c>
      <c r="B1308" s="66">
        <v>2378.0</v>
      </c>
      <c r="C1308" s="66">
        <v>1.0</v>
      </c>
      <c r="D1308" s="66" t="s">
        <v>204</v>
      </c>
      <c r="E1308" s="66">
        <v>1.0</v>
      </c>
      <c r="F1308" s="66">
        <v>0.157</v>
      </c>
      <c r="G1308" s="66">
        <v>0.063</v>
      </c>
      <c r="H1308" s="66" t="s">
        <v>226</v>
      </c>
      <c r="I1308" s="81">
        <f t="shared" si="1"/>
        <v>1.492063492</v>
      </c>
      <c r="J1308" s="81">
        <f t="shared" si="2"/>
        <v>0.4012738854</v>
      </c>
    </row>
    <row r="1309">
      <c r="A1309" s="82">
        <v>44706.0</v>
      </c>
      <c r="B1309" s="66">
        <v>2378.0</v>
      </c>
      <c r="C1309" s="66">
        <v>2.0</v>
      </c>
      <c r="D1309" s="66" t="s">
        <v>205</v>
      </c>
      <c r="E1309" s="66">
        <v>0.0</v>
      </c>
      <c r="F1309" s="66">
        <v>0.02</v>
      </c>
      <c r="G1309" s="66">
        <v>0.008</v>
      </c>
      <c r="H1309" s="66" t="s">
        <v>229</v>
      </c>
      <c r="I1309" s="81">
        <f t="shared" si="1"/>
        <v>1.5</v>
      </c>
      <c r="J1309" s="81">
        <f t="shared" si="2"/>
        <v>0.4</v>
      </c>
    </row>
    <row r="1310">
      <c r="A1310" s="82">
        <v>44706.0</v>
      </c>
      <c r="B1310" s="66">
        <v>2378.0</v>
      </c>
      <c r="C1310" s="66">
        <v>2.0</v>
      </c>
      <c r="D1310" s="66" t="s">
        <v>204</v>
      </c>
      <c r="E1310" s="66">
        <v>0.0</v>
      </c>
      <c r="F1310" s="66">
        <v>0.7177</v>
      </c>
      <c r="G1310" s="66">
        <v>0.287</v>
      </c>
      <c r="H1310" s="66" t="s">
        <v>226</v>
      </c>
      <c r="I1310" s="81">
        <f t="shared" si="1"/>
        <v>1.500696864</v>
      </c>
      <c r="J1310" s="81">
        <f t="shared" si="2"/>
        <v>0.3998885328</v>
      </c>
    </row>
    <row r="1311">
      <c r="A1311" s="82">
        <v>44706.0</v>
      </c>
      <c r="B1311" s="66">
        <v>2378.0</v>
      </c>
      <c r="C1311" s="66">
        <v>2.0</v>
      </c>
      <c r="D1311" s="66" t="s">
        <v>204</v>
      </c>
      <c r="E1311" s="66">
        <v>1.0</v>
      </c>
      <c r="F1311" s="66">
        <v>0.178</v>
      </c>
      <c r="G1311" s="66">
        <v>0.071</v>
      </c>
      <c r="I1311" s="81">
        <f t="shared" si="1"/>
        <v>1.507042254</v>
      </c>
      <c r="J1311" s="81">
        <f t="shared" si="2"/>
        <v>0.3988764045</v>
      </c>
    </row>
    <row r="1312">
      <c r="A1312" s="82">
        <v>44706.0</v>
      </c>
      <c r="B1312" s="66">
        <v>2378.0</v>
      </c>
      <c r="C1312" s="66">
        <v>3.0</v>
      </c>
      <c r="D1312" s="66" t="s">
        <v>205</v>
      </c>
      <c r="E1312" s="66">
        <v>0.0</v>
      </c>
      <c r="F1312" s="66">
        <v>0.148</v>
      </c>
      <c r="G1312" s="66">
        <v>0.059</v>
      </c>
      <c r="H1312" s="66" t="s">
        <v>229</v>
      </c>
      <c r="I1312" s="81">
        <f t="shared" si="1"/>
        <v>1.508474576</v>
      </c>
      <c r="J1312" s="81">
        <f t="shared" si="2"/>
        <v>0.3986486486</v>
      </c>
    </row>
    <row r="1313">
      <c r="A1313" s="82">
        <v>44706.0</v>
      </c>
      <c r="B1313" s="66">
        <v>2378.0</v>
      </c>
      <c r="C1313" s="66">
        <v>3.0</v>
      </c>
      <c r="D1313" s="66" t="s">
        <v>204</v>
      </c>
      <c r="E1313" s="66">
        <v>0.0</v>
      </c>
      <c r="F1313" s="66">
        <v>0.537</v>
      </c>
      <c r="G1313" s="66">
        <v>0.214</v>
      </c>
      <c r="H1313" s="66" t="s">
        <v>229</v>
      </c>
      <c r="I1313" s="81">
        <f t="shared" si="1"/>
        <v>1.509345794</v>
      </c>
      <c r="J1313" s="81">
        <f t="shared" si="2"/>
        <v>0.3985102421</v>
      </c>
    </row>
    <row r="1314">
      <c r="A1314" s="82">
        <v>44706.0</v>
      </c>
      <c r="B1314" s="66">
        <v>2378.0</v>
      </c>
      <c r="C1314" s="66">
        <v>3.0</v>
      </c>
      <c r="D1314" s="66" t="s">
        <v>204</v>
      </c>
      <c r="E1314" s="66">
        <v>1.0</v>
      </c>
      <c r="F1314" s="66">
        <v>0.688</v>
      </c>
      <c r="G1314" s="66">
        <v>0.274</v>
      </c>
      <c r="H1314" s="66" t="s">
        <v>229</v>
      </c>
      <c r="I1314" s="81">
        <f t="shared" si="1"/>
        <v>1.510948905</v>
      </c>
      <c r="J1314" s="81">
        <f t="shared" si="2"/>
        <v>0.398255814</v>
      </c>
    </row>
    <row r="1315">
      <c r="A1315" s="82">
        <v>44706.0</v>
      </c>
      <c r="B1315" s="66">
        <v>2379.0</v>
      </c>
      <c r="C1315" s="66">
        <v>1.0</v>
      </c>
      <c r="D1315" s="66" t="s">
        <v>205</v>
      </c>
      <c r="E1315" s="66">
        <v>0.0</v>
      </c>
      <c r="F1315" s="66">
        <v>0.0776</v>
      </c>
      <c r="G1315" s="66">
        <v>0.0309</v>
      </c>
      <c r="H1315" s="66" t="s">
        <v>226</v>
      </c>
      <c r="I1315" s="81">
        <f t="shared" si="1"/>
        <v>1.511326861</v>
      </c>
      <c r="J1315" s="81">
        <f t="shared" si="2"/>
        <v>0.3981958763</v>
      </c>
    </row>
    <row r="1316">
      <c r="A1316" s="82">
        <v>44706.0</v>
      </c>
      <c r="B1316" s="66">
        <v>2379.0</v>
      </c>
      <c r="C1316" s="66">
        <v>1.0</v>
      </c>
      <c r="D1316" s="66" t="s">
        <v>204</v>
      </c>
      <c r="E1316" s="66">
        <v>0.0</v>
      </c>
      <c r="F1316" s="66">
        <v>0.97</v>
      </c>
      <c r="G1316" s="66">
        <v>0.386</v>
      </c>
      <c r="H1316" s="66" t="s">
        <v>226</v>
      </c>
      <c r="I1316" s="81">
        <f t="shared" si="1"/>
        <v>1.512953368</v>
      </c>
      <c r="J1316" s="81">
        <f t="shared" si="2"/>
        <v>0.3979381443</v>
      </c>
    </row>
    <row r="1317">
      <c r="A1317" s="82">
        <v>44706.0</v>
      </c>
      <c r="B1317" s="66">
        <v>2379.0</v>
      </c>
      <c r="C1317" s="66">
        <v>1.0</v>
      </c>
      <c r="D1317" s="66" t="s">
        <v>204</v>
      </c>
      <c r="E1317" s="66">
        <v>1.0</v>
      </c>
      <c r="F1317" s="66">
        <v>0.259</v>
      </c>
      <c r="G1317" s="66">
        <v>0.103</v>
      </c>
      <c r="H1317" s="66" t="s">
        <v>229</v>
      </c>
      <c r="I1317" s="81">
        <f t="shared" si="1"/>
        <v>1.514563107</v>
      </c>
      <c r="J1317" s="81">
        <f t="shared" si="2"/>
        <v>0.3976833977</v>
      </c>
    </row>
    <row r="1318">
      <c r="A1318" s="82">
        <v>44706.0</v>
      </c>
      <c r="B1318" s="66">
        <v>2379.0</v>
      </c>
      <c r="C1318" s="66">
        <v>2.0</v>
      </c>
      <c r="D1318" s="66" t="s">
        <v>205</v>
      </c>
      <c r="E1318" s="66">
        <v>0.0</v>
      </c>
      <c r="F1318" s="66">
        <v>0.12</v>
      </c>
      <c r="G1318" s="66">
        <v>0.0477</v>
      </c>
      <c r="H1318" s="66" t="s">
        <v>226</v>
      </c>
      <c r="I1318" s="81">
        <f t="shared" si="1"/>
        <v>1.51572327</v>
      </c>
      <c r="J1318" s="81">
        <f t="shared" si="2"/>
        <v>0.3975</v>
      </c>
    </row>
    <row r="1319">
      <c r="A1319" s="82">
        <v>44706.0</v>
      </c>
      <c r="B1319" s="66">
        <v>2379.0</v>
      </c>
      <c r="C1319" s="66">
        <v>2.0</v>
      </c>
      <c r="D1319" s="66" t="s">
        <v>204</v>
      </c>
      <c r="E1319" s="66">
        <v>0.0</v>
      </c>
      <c r="F1319" s="66">
        <v>0.0782</v>
      </c>
      <c r="G1319" s="66">
        <v>0.031</v>
      </c>
      <c r="I1319" s="81">
        <f t="shared" si="1"/>
        <v>1.522580645</v>
      </c>
      <c r="J1319" s="81">
        <f t="shared" si="2"/>
        <v>0.3964194373</v>
      </c>
    </row>
    <row r="1320">
      <c r="A1320" s="82">
        <v>44706.0</v>
      </c>
      <c r="B1320" s="66">
        <v>2379.0</v>
      </c>
      <c r="C1320" s="66">
        <v>2.0</v>
      </c>
      <c r="D1320" s="66" t="s">
        <v>204</v>
      </c>
      <c r="E1320" s="66">
        <v>1.0</v>
      </c>
      <c r="F1320" s="66">
        <v>0.123</v>
      </c>
      <c r="G1320" s="66">
        <v>0.0487</v>
      </c>
      <c r="H1320" s="66" t="s">
        <v>226</v>
      </c>
      <c r="I1320" s="81">
        <f t="shared" si="1"/>
        <v>1.525667351</v>
      </c>
      <c r="J1320" s="81">
        <f t="shared" si="2"/>
        <v>0.3959349593</v>
      </c>
    </row>
    <row r="1321">
      <c r="A1321" s="82">
        <v>44706.0</v>
      </c>
      <c r="B1321" s="66">
        <v>2379.0</v>
      </c>
      <c r="C1321" s="66">
        <v>3.0</v>
      </c>
      <c r="D1321" s="66" t="s">
        <v>205</v>
      </c>
      <c r="E1321" s="66">
        <v>0.0</v>
      </c>
      <c r="F1321" s="66">
        <v>0.0844</v>
      </c>
      <c r="G1321" s="66">
        <v>0.0334</v>
      </c>
      <c r="I1321" s="81">
        <f t="shared" si="1"/>
        <v>1.526946108</v>
      </c>
      <c r="J1321" s="81">
        <f t="shared" si="2"/>
        <v>0.3957345972</v>
      </c>
    </row>
    <row r="1322">
      <c r="A1322" s="82">
        <v>44706.0</v>
      </c>
      <c r="B1322" s="66">
        <v>2379.0</v>
      </c>
      <c r="C1322" s="66">
        <v>3.0</v>
      </c>
      <c r="D1322" s="66" t="s">
        <v>204</v>
      </c>
      <c r="E1322" s="66">
        <v>0.0</v>
      </c>
      <c r="F1322" s="66">
        <v>0.301</v>
      </c>
      <c r="G1322" s="66">
        <v>0.119</v>
      </c>
      <c r="H1322" s="66" t="s">
        <v>229</v>
      </c>
      <c r="I1322" s="81">
        <f t="shared" si="1"/>
        <v>1.529411765</v>
      </c>
      <c r="J1322" s="81">
        <f t="shared" si="2"/>
        <v>0.3953488372</v>
      </c>
    </row>
    <row r="1323">
      <c r="A1323" s="82">
        <v>44706.0</v>
      </c>
      <c r="B1323" s="66">
        <v>2379.0</v>
      </c>
      <c r="C1323" s="66">
        <v>3.0</v>
      </c>
      <c r="D1323" s="66" t="s">
        <v>204</v>
      </c>
      <c r="E1323" s="66">
        <v>1.0</v>
      </c>
      <c r="F1323" s="66">
        <v>0.516</v>
      </c>
      <c r="G1323" s="66">
        <v>0.204</v>
      </c>
      <c r="H1323" s="66" t="s">
        <v>229</v>
      </c>
      <c r="I1323" s="81">
        <f t="shared" si="1"/>
        <v>1.529411765</v>
      </c>
      <c r="J1323" s="81">
        <f t="shared" si="2"/>
        <v>0.3953488372</v>
      </c>
    </row>
    <row r="1324">
      <c r="A1324" s="82">
        <v>44706.0</v>
      </c>
      <c r="B1324" s="66">
        <v>2380.0</v>
      </c>
      <c r="C1324" s="66">
        <v>1.0</v>
      </c>
      <c r="D1324" s="66" t="s">
        <v>205</v>
      </c>
      <c r="E1324" s="66">
        <v>1.0</v>
      </c>
      <c r="F1324" s="66">
        <v>0.1122</v>
      </c>
      <c r="G1324" s="66">
        <v>0.0443</v>
      </c>
      <c r="H1324" s="66" t="s">
        <v>226</v>
      </c>
      <c r="I1324" s="81">
        <f t="shared" si="1"/>
        <v>1.532731377</v>
      </c>
      <c r="J1324" s="81">
        <f t="shared" si="2"/>
        <v>0.3948306595</v>
      </c>
    </row>
    <row r="1325">
      <c r="A1325" s="82">
        <v>44706.0</v>
      </c>
      <c r="B1325" s="66">
        <v>2380.0</v>
      </c>
      <c r="C1325" s="66">
        <v>1.0</v>
      </c>
      <c r="D1325" s="66" t="s">
        <v>204</v>
      </c>
      <c r="E1325" s="66">
        <v>1.0</v>
      </c>
      <c r="F1325" s="66">
        <v>0.2727</v>
      </c>
      <c r="G1325" s="66">
        <v>0.1076</v>
      </c>
      <c r="I1325" s="81">
        <f t="shared" si="1"/>
        <v>1.534386617</v>
      </c>
      <c r="J1325" s="81">
        <f t="shared" si="2"/>
        <v>0.3945727906</v>
      </c>
    </row>
    <row r="1326">
      <c r="A1326" s="82">
        <v>44706.0</v>
      </c>
      <c r="B1326" s="66">
        <v>2380.0</v>
      </c>
      <c r="C1326" s="66">
        <v>2.0</v>
      </c>
      <c r="D1326" s="66" t="s">
        <v>205</v>
      </c>
      <c r="E1326" s="66">
        <v>0.0</v>
      </c>
      <c r="F1326" s="66">
        <v>0.0279</v>
      </c>
      <c r="G1326" s="66">
        <v>0.011</v>
      </c>
      <c r="H1326" s="66" t="s">
        <v>226</v>
      </c>
      <c r="I1326" s="81">
        <f t="shared" si="1"/>
        <v>1.536363636</v>
      </c>
      <c r="J1326" s="81">
        <f t="shared" si="2"/>
        <v>0.394265233</v>
      </c>
    </row>
    <row r="1327">
      <c r="A1327" s="82">
        <v>44706.0</v>
      </c>
      <c r="B1327" s="66">
        <v>2380.0</v>
      </c>
      <c r="C1327" s="66">
        <v>2.0</v>
      </c>
      <c r="D1327" s="66" t="s">
        <v>204</v>
      </c>
      <c r="E1327" s="66">
        <v>0.0</v>
      </c>
      <c r="F1327" s="66">
        <v>1.626</v>
      </c>
      <c r="G1327" s="66">
        <v>0.641</v>
      </c>
      <c r="H1327" s="66" t="s">
        <v>228</v>
      </c>
      <c r="I1327" s="81">
        <f t="shared" si="1"/>
        <v>1.536661466</v>
      </c>
      <c r="J1327" s="81">
        <f t="shared" si="2"/>
        <v>0.3942189422</v>
      </c>
    </row>
    <row r="1328">
      <c r="A1328" s="82">
        <v>44706.0</v>
      </c>
      <c r="B1328" s="66">
        <v>2380.0</v>
      </c>
      <c r="C1328" s="66">
        <v>2.0</v>
      </c>
      <c r="D1328" s="66" t="s">
        <v>204</v>
      </c>
      <c r="E1328" s="66">
        <v>1.0</v>
      </c>
      <c r="F1328" s="66">
        <v>0.0729</v>
      </c>
      <c r="G1328" s="66">
        <v>0.0287</v>
      </c>
      <c r="H1328" s="66" t="s">
        <v>226</v>
      </c>
      <c r="I1328" s="81">
        <f t="shared" si="1"/>
        <v>1.540069686</v>
      </c>
      <c r="J1328" s="81">
        <f t="shared" si="2"/>
        <v>0.3936899863</v>
      </c>
    </row>
    <row r="1329">
      <c r="A1329" s="82">
        <v>44706.0</v>
      </c>
      <c r="B1329" s="66">
        <v>2380.0</v>
      </c>
      <c r="C1329" s="66">
        <v>3.0</v>
      </c>
      <c r="D1329" s="66" t="s">
        <v>205</v>
      </c>
      <c r="E1329" s="66">
        <v>0.0</v>
      </c>
      <c r="F1329" s="66">
        <v>0.2166</v>
      </c>
      <c r="G1329" s="66">
        <v>0.0852</v>
      </c>
      <c r="H1329" s="66" t="s">
        <v>226</v>
      </c>
      <c r="I1329" s="81">
        <f t="shared" si="1"/>
        <v>1.542253521</v>
      </c>
      <c r="J1329" s="81">
        <f t="shared" si="2"/>
        <v>0.3933518006</v>
      </c>
    </row>
    <row r="1330">
      <c r="A1330" s="82">
        <v>44706.0</v>
      </c>
      <c r="B1330" s="66">
        <v>2380.0</v>
      </c>
      <c r="C1330" s="66">
        <v>3.0</v>
      </c>
      <c r="D1330" s="66" t="s">
        <v>205</v>
      </c>
      <c r="E1330" s="66">
        <v>1.0</v>
      </c>
      <c r="F1330" s="66">
        <v>0.4273</v>
      </c>
      <c r="G1330" s="66">
        <v>0.1677</v>
      </c>
      <c r="I1330" s="81">
        <f t="shared" si="1"/>
        <v>1.548002385</v>
      </c>
      <c r="J1330" s="81">
        <f t="shared" si="2"/>
        <v>0.3924643108</v>
      </c>
    </row>
    <row r="1331">
      <c r="A1331" s="82">
        <v>44706.0</v>
      </c>
      <c r="B1331" s="66">
        <v>2380.0</v>
      </c>
      <c r="C1331" s="66">
        <v>3.0</v>
      </c>
      <c r="D1331" s="66" t="s">
        <v>204</v>
      </c>
      <c r="E1331" s="66">
        <v>0.0</v>
      </c>
      <c r="F1331" s="66">
        <v>0.1963</v>
      </c>
      <c r="G1331" s="66">
        <v>0.077</v>
      </c>
      <c r="H1331" s="66" t="s">
        <v>226</v>
      </c>
      <c r="I1331" s="81">
        <f t="shared" si="1"/>
        <v>1.549350649</v>
      </c>
      <c r="J1331" s="81">
        <f t="shared" si="2"/>
        <v>0.3922567499</v>
      </c>
    </row>
    <row r="1332">
      <c r="A1332" s="82">
        <v>44706.0</v>
      </c>
      <c r="B1332" s="66">
        <v>2380.0</v>
      </c>
      <c r="C1332" s="66">
        <v>3.0</v>
      </c>
      <c r="D1332" s="66" t="s">
        <v>204</v>
      </c>
      <c r="E1332" s="66">
        <v>1.0</v>
      </c>
      <c r="F1332" s="81">
        <f>0.161+1.5393</f>
        <v>1.7003</v>
      </c>
      <c r="G1332" s="66">
        <v>0.666</v>
      </c>
      <c r="H1332" s="66" t="s">
        <v>226</v>
      </c>
      <c r="I1332" s="81">
        <f t="shared" si="1"/>
        <v>1.553003003</v>
      </c>
      <c r="J1332" s="81">
        <f t="shared" si="2"/>
        <v>0.3916955831</v>
      </c>
    </row>
    <row r="1333">
      <c r="A1333" s="82">
        <v>44706.0</v>
      </c>
      <c r="B1333" s="66">
        <v>2381.0</v>
      </c>
      <c r="C1333" s="66">
        <v>1.0</v>
      </c>
      <c r="D1333" s="66" t="s">
        <v>205</v>
      </c>
      <c r="E1333" s="66">
        <v>0.0</v>
      </c>
      <c r="F1333" s="66">
        <v>0.3245</v>
      </c>
      <c r="G1333" s="66">
        <v>0.127</v>
      </c>
      <c r="H1333" s="66" t="s">
        <v>226</v>
      </c>
      <c r="I1333" s="81">
        <f t="shared" si="1"/>
        <v>1.55511811</v>
      </c>
      <c r="J1333" s="81">
        <f t="shared" si="2"/>
        <v>0.3913713405</v>
      </c>
    </row>
    <row r="1334">
      <c r="A1334" s="82">
        <v>44706.0</v>
      </c>
      <c r="B1334" s="66">
        <v>2381.0</v>
      </c>
      <c r="C1334" s="66">
        <v>1.0</v>
      </c>
      <c r="D1334" s="66" t="s">
        <v>204</v>
      </c>
      <c r="E1334" s="66">
        <v>1.0</v>
      </c>
      <c r="F1334" s="66">
        <v>0.0307</v>
      </c>
      <c r="G1334" s="66">
        <v>0.012</v>
      </c>
      <c r="H1334" s="66" t="s">
        <v>227</v>
      </c>
      <c r="I1334" s="81">
        <f t="shared" si="1"/>
        <v>1.558333333</v>
      </c>
      <c r="J1334" s="81">
        <f t="shared" si="2"/>
        <v>0.3908794788</v>
      </c>
    </row>
    <row r="1335">
      <c r="A1335" s="82">
        <v>44706.0</v>
      </c>
      <c r="B1335" s="66">
        <v>2381.0</v>
      </c>
      <c r="C1335" s="66">
        <v>2.0</v>
      </c>
      <c r="D1335" s="66" t="s">
        <v>205</v>
      </c>
      <c r="E1335" s="66">
        <v>0.0</v>
      </c>
      <c r="F1335" s="66">
        <v>0.325</v>
      </c>
      <c r="G1335" s="66">
        <v>0.127</v>
      </c>
      <c r="H1335" s="66" t="s">
        <v>229</v>
      </c>
      <c r="I1335" s="81">
        <f t="shared" si="1"/>
        <v>1.559055118</v>
      </c>
      <c r="J1335" s="81">
        <f t="shared" si="2"/>
        <v>0.3907692308</v>
      </c>
    </row>
    <row r="1336">
      <c r="A1336" s="82">
        <v>44706.0</v>
      </c>
      <c r="B1336" s="66">
        <v>2381.0</v>
      </c>
      <c r="C1336" s="66">
        <v>2.0</v>
      </c>
      <c r="D1336" s="66" t="s">
        <v>205</v>
      </c>
      <c r="E1336" s="66">
        <v>0.0</v>
      </c>
      <c r="F1336" s="66">
        <v>0.0829</v>
      </c>
      <c r="G1336" s="66">
        <v>0.0323</v>
      </c>
      <c r="H1336" s="66" t="s">
        <v>226</v>
      </c>
      <c r="I1336" s="81">
        <f t="shared" si="1"/>
        <v>1.566563467</v>
      </c>
      <c r="J1336" s="81">
        <f t="shared" si="2"/>
        <v>0.3896260555</v>
      </c>
    </row>
    <row r="1337">
      <c r="A1337" s="82">
        <v>44706.0</v>
      </c>
      <c r="B1337" s="66">
        <v>2381.0</v>
      </c>
      <c r="C1337" s="66">
        <v>2.0</v>
      </c>
      <c r="D1337" s="66" t="s">
        <v>204</v>
      </c>
      <c r="E1337" s="66">
        <v>0.0</v>
      </c>
      <c r="F1337" s="66">
        <v>0.0411</v>
      </c>
      <c r="G1337" s="66">
        <v>0.016</v>
      </c>
      <c r="H1337" s="66" t="s">
        <v>226</v>
      </c>
      <c r="I1337" s="81">
        <f t="shared" si="1"/>
        <v>1.56875</v>
      </c>
      <c r="J1337" s="81">
        <f t="shared" si="2"/>
        <v>0.3892944039</v>
      </c>
    </row>
    <row r="1338">
      <c r="A1338" s="82">
        <v>44706.0</v>
      </c>
      <c r="B1338" s="66">
        <v>2381.0</v>
      </c>
      <c r="C1338" s="66">
        <v>2.0</v>
      </c>
      <c r="D1338" s="66" t="s">
        <v>204</v>
      </c>
      <c r="E1338" s="66">
        <v>1.0</v>
      </c>
      <c r="F1338" s="66">
        <v>0.0257</v>
      </c>
      <c r="G1338" s="66">
        <v>0.01</v>
      </c>
      <c r="H1338" s="66" t="s">
        <v>226</v>
      </c>
      <c r="I1338" s="81">
        <f t="shared" si="1"/>
        <v>1.57</v>
      </c>
      <c r="J1338" s="81">
        <f t="shared" si="2"/>
        <v>0.3891050584</v>
      </c>
    </row>
    <row r="1339">
      <c r="A1339" s="82">
        <v>44706.0</v>
      </c>
      <c r="B1339" s="66">
        <v>2381.0</v>
      </c>
      <c r="C1339" s="66">
        <v>3.0</v>
      </c>
      <c r="D1339" s="66" t="s">
        <v>205</v>
      </c>
      <c r="E1339" s="66">
        <v>0.0</v>
      </c>
      <c r="F1339" s="66">
        <v>0.2608</v>
      </c>
      <c r="G1339" s="66">
        <v>0.1014</v>
      </c>
      <c r="H1339" s="66" t="s">
        <v>226</v>
      </c>
      <c r="I1339" s="81">
        <f t="shared" si="1"/>
        <v>1.57199211</v>
      </c>
      <c r="J1339" s="81">
        <f t="shared" si="2"/>
        <v>0.388803681</v>
      </c>
    </row>
    <row r="1340">
      <c r="A1340" s="82">
        <v>44706.0</v>
      </c>
      <c r="B1340" s="66">
        <v>2381.0</v>
      </c>
      <c r="C1340" s="66">
        <v>3.0</v>
      </c>
      <c r="D1340" s="66" t="s">
        <v>204</v>
      </c>
      <c r="E1340" s="66">
        <v>0.0</v>
      </c>
      <c r="F1340" s="66">
        <v>0.0592</v>
      </c>
      <c r="G1340" s="66">
        <v>0.023</v>
      </c>
      <c r="H1340" s="66" t="s">
        <v>226</v>
      </c>
      <c r="I1340" s="81">
        <f t="shared" si="1"/>
        <v>1.573913043</v>
      </c>
      <c r="J1340" s="81">
        <f t="shared" si="2"/>
        <v>0.3885135135</v>
      </c>
    </row>
    <row r="1341">
      <c r="A1341" s="82">
        <v>44706.0</v>
      </c>
      <c r="B1341" s="66">
        <v>2381.0</v>
      </c>
      <c r="C1341" s="66">
        <v>3.0</v>
      </c>
      <c r="D1341" s="66" t="s">
        <v>204</v>
      </c>
      <c r="E1341" s="66">
        <v>1.0</v>
      </c>
      <c r="F1341" s="66">
        <v>0.0541</v>
      </c>
      <c r="G1341" s="66">
        <v>0.021</v>
      </c>
      <c r="H1341" s="66" t="s">
        <v>226</v>
      </c>
      <c r="I1341" s="81">
        <f t="shared" si="1"/>
        <v>1.576190476</v>
      </c>
      <c r="J1341" s="81">
        <f t="shared" si="2"/>
        <v>0.3881700555</v>
      </c>
    </row>
    <row r="1342">
      <c r="A1342" s="82">
        <v>44706.0</v>
      </c>
      <c r="B1342" s="66">
        <v>2382.0</v>
      </c>
      <c r="C1342" s="66">
        <v>1.0</v>
      </c>
      <c r="D1342" s="66" t="s">
        <v>205</v>
      </c>
      <c r="E1342" s="66">
        <v>0.0</v>
      </c>
      <c r="F1342" s="66">
        <v>0.9838</v>
      </c>
      <c r="G1342" s="66">
        <v>0.3818</v>
      </c>
      <c r="H1342" s="66" t="s">
        <v>226</v>
      </c>
      <c r="I1342" s="81">
        <f t="shared" si="1"/>
        <v>1.57674175</v>
      </c>
      <c r="J1342" s="81">
        <f t="shared" si="2"/>
        <v>0.3880870096</v>
      </c>
    </row>
    <row r="1343">
      <c r="A1343" s="82">
        <v>44706.0</v>
      </c>
      <c r="B1343" s="66">
        <v>2382.0</v>
      </c>
      <c r="C1343" s="66">
        <v>1.0</v>
      </c>
      <c r="D1343" s="66" t="s">
        <v>204</v>
      </c>
      <c r="E1343" s="66">
        <v>0.0</v>
      </c>
      <c r="F1343" s="66">
        <v>0.0701</v>
      </c>
      <c r="G1343" s="66">
        <v>0.0272</v>
      </c>
      <c r="H1343" s="66" t="s">
        <v>226</v>
      </c>
      <c r="I1343" s="81">
        <f t="shared" si="1"/>
        <v>1.577205882</v>
      </c>
      <c r="J1343" s="81">
        <f t="shared" si="2"/>
        <v>0.3880171184</v>
      </c>
    </row>
    <row r="1344">
      <c r="A1344" s="82">
        <v>44706.0</v>
      </c>
      <c r="B1344" s="66">
        <v>2382.0</v>
      </c>
      <c r="C1344" s="66">
        <v>1.0</v>
      </c>
      <c r="D1344" s="66" t="s">
        <v>204</v>
      </c>
      <c r="E1344" s="66">
        <v>1.0</v>
      </c>
      <c r="F1344" s="66">
        <v>0.0849</v>
      </c>
      <c r="G1344" s="66">
        <v>0.0329</v>
      </c>
      <c r="H1344" s="66" t="s">
        <v>226</v>
      </c>
      <c r="I1344" s="81">
        <f t="shared" si="1"/>
        <v>1.580547112</v>
      </c>
      <c r="J1344" s="81">
        <f t="shared" si="2"/>
        <v>0.3875147232</v>
      </c>
    </row>
    <row r="1345">
      <c r="A1345" s="82">
        <v>44706.0</v>
      </c>
      <c r="B1345" s="66">
        <v>2382.0</v>
      </c>
      <c r="C1345" s="66">
        <v>2.0</v>
      </c>
      <c r="D1345" s="66" t="s">
        <v>205</v>
      </c>
      <c r="E1345" s="66">
        <v>0.0</v>
      </c>
      <c r="F1345" s="66">
        <v>0.124</v>
      </c>
      <c r="G1345" s="66">
        <v>0.048</v>
      </c>
      <c r="H1345" s="66" t="s">
        <v>229</v>
      </c>
      <c r="I1345" s="81">
        <f t="shared" si="1"/>
        <v>1.583333333</v>
      </c>
      <c r="J1345" s="81">
        <f t="shared" si="2"/>
        <v>0.3870967742</v>
      </c>
    </row>
    <row r="1346">
      <c r="A1346" s="82">
        <v>44706.0</v>
      </c>
      <c r="B1346" s="66">
        <v>2382.0</v>
      </c>
      <c r="C1346" s="66">
        <v>2.0</v>
      </c>
      <c r="D1346" s="66" t="s">
        <v>204</v>
      </c>
      <c r="E1346" s="66">
        <v>0.0</v>
      </c>
      <c r="F1346" s="66">
        <v>0.0181</v>
      </c>
      <c r="G1346" s="66">
        <v>0.007</v>
      </c>
      <c r="H1346" s="66" t="s">
        <v>226</v>
      </c>
      <c r="I1346" s="81">
        <f t="shared" si="1"/>
        <v>1.585714286</v>
      </c>
      <c r="J1346" s="81">
        <f t="shared" si="2"/>
        <v>0.3867403315</v>
      </c>
    </row>
    <row r="1347">
      <c r="A1347" s="82">
        <v>44706.0</v>
      </c>
      <c r="B1347" s="66">
        <v>2382.0</v>
      </c>
      <c r="C1347" s="66">
        <v>2.0</v>
      </c>
      <c r="D1347" s="66" t="s">
        <v>204</v>
      </c>
      <c r="E1347" s="66">
        <v>1.0</v>
      </c>
      <c r="F1347" s="66">
        <v>0.1186</v>
      </c>
      <c r="G1347" s="66">
        <v>0.0458</v>
      </c>
      <c r="H1347" s="66" t="s">
        <v>226</v>
      </c>
      <c r="I1347" s="81">
        <f t="shared" si="1"/>
        <v>1.589519651</v>
      </c>
      <c r="J1347" s="81">
        <f t="shared" si="2"/>
        <v>0.3861720067</v>
      </c>
    </row>
    <row r="1348">
      <c r="A1348" s="82">
        <v>44706.0</v>
      </c>
      <c r="B1348" s="66">
        <v>2382.0</v>
      </c>
      <c r="C1348" s="66">
        <v>3.0</v>
      </c>
      <c r="D1348" s="66" t="s">
        <v>205</v>
      </c>
      <c r="E1348" s="66">
        <v>0.0</v>
      </c>
      <c r="F1348" s="66">
        <v>0.026</v>
      </c>
      <c r="G1348" s="66">
        <v>0.01</v>
      </c>
      <c r="H1348" s="66" t="s">
        <v>226</v>
      </c>
      <c r="I1348" s="81">
        <f t="shared" si="1"/>
        <v>1.6</v>
      </c>
      <c r="J1348" s="81">
        <f t="shared" si="2"/>
        <v>0.3846153846</v>
      </c>
    </row>
    <row r="1349">
      <c r="A1349" s="82">
        <v>44706.0</v>
      </c>
      <c r="B1349" s="66">
        <v>2382.0</v>
      </c>
      <c r="C1349" s="66">
        <v>3.0</v>
      </c>
      <c r="D1349" s="66" t="s">
        <v>204</v>
      </c>
      <c r="E1349" s="66">
        <v>0.0</v>
      </c>
      <c r="F1349" s="66">
        <v>0.453</v>
      </c>
      <c r="G1349" s="66">
        <v>0.174</v>
      </c>
      <c r="H1349" s="66" t="s">
        <v>229</v>
      </c>
      <c r="I1349" s="81">
        <f t="shared" si="1"/>
        <v>1.603448276</v>
      </c>
      <c r="J1349" s="81">
        <f t="shared" si="2"/>
        <v>0.3841059603</v>
      </c>
    </row>
    <row r="1350">
      <c r="A1350" s="82">
        <v>44706.0</v>
      </c>
      <c r="B1350" s="66">
        <v>2382.0</v>
      </c>
      <c r="C1350" s="66">
        <v>3.0</v>
      </c>
      <c r="D1350" s="66" t="s">
        <v>204</v>
      </c>
      <c r="E1350" s="66">
        <v>1.0</v>
      </c>
      <c r="F1350" s="66">
        <v>0.1615</v>
      </c>
      <c r="G1350" s="66">
        <v>0.062</v>
      </c>
      <c r="H1350" s="66" t="s">
        <v>227</v>
      </c>
      <c r="I1350" s="81">
        <f t="shared" si="1"/>
        <v>1.60483871</v>
      </c>
      <c r="J1350" s="81">
        <f t="shared" si="2"/>
        <v>0.3839009288</v>
      </c>
    </row>
    <row r="1351">
      <c r="A1351" s="82">
        <v>44708.0</v>
      </c>
      <c r="B1351" s="66">
        <v>1478.0</v>
      </c>
      <c r="C1351" s="66">
        <v>1.0</v>
      </c>
      <c r="D1351" s="66" t="s">
        <v>205</v>
      </c>
      <c r="E1351" s="66">
        <v>0.0</v>
      </c>
      <c r="F1351" s="66">
        <v>1.207</v>
      </c>
      <c r="G1351" s="66">
        <v>0.463</v>
      </c>
      <c r="H1351" s="66" t="s">
        <v>229</v>
      </c>
      <c r="I1351" s="81">
        <f t="shared" si="1"/>
        <v>1.606911447</v>
      </c>
      <c r="J1351" s="81">
        <f t="shared" si="2"/>
        <v>0.3835956918</v>
      </c>
    </row>
    <row r="1352">
      <c r="A1352" s="82">
        <v>44708.0</v>
      </c>
      <c r="B1352" s="66">
        <v>1478.0</v>
      </c>
      <c r="C1352" s="66">
        <v>1.0</v>
      </c>
      <c r="D1352" s="66" t="s">
        <v>204</v>
      </c>
      <c r="E1352" s="66">
        <v>0.0</v>
      </c>
      <c r="F1352" s="66">
        <v>1.1168</v>
      </c>
      <c r="G1352" s="66">
        <v>0.4278</v>
      </c>
      <c r="H1352" s="66" t="s">
        <v>226</v>
      </c>
      <c r="I1352" s="81">
        <f t="shared" si="1"/>
        <v>1.610565685</v>
      </c>
      <c r="J1352" s="81">
        <f t="shared" si="2"/>
        <v>0.3830587393</v>
      </c>
    </row>
    <row r="1353">
      <c r="A1353" s="82">
        <v>44708.0</v>
      </c>
      <c r="B1353" s="66">
        <v>1478.0</v>
      </c>
      <c r="C1353" s="66">
        <v>2.0</v>
      </c>
      <c r="D1353" s="66" t="s">
        <v>205</v>
      </c>
      <c r="E1353" s="66">
        <v>0.0</v>
      </c>
      <c r="F1353" s="66">
        <v>0.6987</v>
      </c>
      <c r="G1353" s="66">
        <v>0.2676</v>
      </c>
      <c r="H1353" s="66" t="s">
        <v>226</v>
      </c>
      <c r="I1353" s="81">
        <f t="shared" si="1"/>
        <v>1.610986547</v>
      </c>
      <c r="J1353" s="81">
        <f t="shared" si="2"/>
        <v>0.3829969944</v>
      </c>
    </row>
    <row r="1354">
      <c r="A1354" s="82">
        <v>44708.0</v>
      </c>
      <c r="B1354" s="66">
        <v>1478.0</v>
      </c>
      <c r="C1354" s="66">
        <v>2.0</v>
      </c>
      <c r="D1354" s="66" t="s">
        <v>204</v>
      </c>
      <c r="E1354" s="66">
        <v>0.0</v>
      </c>
      <c r="F1354" s="66">
        <v>0.034</v>
      </c>
      <c r="G1354" s="66">
        <v>0.013</v>
      </c>
      <c r="H1354" s="66" t="s">
        <v>229</v>
      </c>
      <c r="I1354" s="81">
        <f t="shared" si="1"/>
        <v>1.615384615</v>
      </c>
      <c r="J1354" s="81">
        <f t="shared" si="2"/>
        <v>0.3823529412</v>
      </c>
    </row>
    <row r="1355">
      <c r="A1355" s="82">
        <v>44708.0</v>
      </c>
      <c r="B1355" s="66">
        <v>1478.0</v>
      </c>
      <c r="C1355" s="66">
        <v>3.0</v>
      </c>
      <c r="D1355" s="66" t="s">
        <v>205</v>
      </c>
      <c r="E1355" s="66">
        <v>0.0</v>
      </c>
      <c r="F1355" s="66">
        <v>0.4499</v>
      </c>
      <c r="G1355" s="66">
        <v>0.172</v>
      </c>
      <c r="H1355" s="66" t="s">
        <v>226</v>
      </c>
      <c r="I1355" s="81">
        <f t="shared" si="1"/>
        <v>1.615697674</v>
      </c>
      <c r="J1355" s="81">
        <f t="shared" si="2"/>
        <v>0.3823071794</v>
      </c>
    </row>
    <row r="1356">
      <c r="A1356" s="82">
        <v>44708.0</v>
      </c>
      <c r="B1356" s="66">
        <v>1478.0</v>
      </c>
      <c r="C1356" s="66">
        <v>3.0</v>
      </c>
      <c r="D1356" s="66" t="s">
        <v>204</v>
      </c>
      <c r="E1356" s="66">
        <v>0.0</v>
      </c>
      <c r="F1356" s="66">
        <v>0.1593</v>
      </c>
      <c r="G1356" s="66">
        <v>0.0609</v>
      </c>
      <c r="H1356" s="66" t="s">
        <v>230</v>
      </c>
      <c r="I1356" s="81">
        <f t="shared" si="1"/>
        <v>1.615763547</v>
      </c>
      <c r="J1356" s="81">
        <f t="shared" si="2"/>
        <v>0.3822975518</v>
      </c>
    </row>
    <row r="1357">
      <c r="A1357" s="82">
        <v>44708.0</v>
      </c>
      <c r="B1357" s="66">
        <v>2004.0</v>
      </c>
      <c r="C1357" s="66">
        <v>1.0</v>
      </c>
      <c r="D1357" s="66" t="s">
        <v>205</v>
      </c>
      <c r="E1357" s="66">
        <v>0.0</v>
      </c>
      <c r="F1357" s="66">
        <v>0.2512</v>
      </c>
      <c r="G1357" s="66">
        <v>0.096</v>
      </c>
      <c r="I1357" s="81">
        <f t="shared" si="1"/>
        <v>1.616666667</v>
      </c>
      <c r="J1357" s="81">
        <f t="shared" si="2"/>
        <v>0.3821656051</v>
      </c>
    </row>
    <row r="1358">
      <c r="A1358" s="82">
        <v>44708.0</v>
      </c>
      <c r="B1358" s="66">
        <v>2004.0</v>
      </c>
      <c r="C1358" s="66">
        <v>1.0</v>
      </c>
      <c r="D1358" s="66" t="s">
        <v>204</v>
      </c>
      <c r="E1358" s="66">
        <v>0.0</v>
      </c>
      <c r="F1358" s="66">
        <v>0.2076</v>
      </c>
      <c r="G1358" s="66">
        <v>0.0793</v>
      </c>
      <c r="I1358" s="81">
        <f t="shared" si="1"/>
        <v>1.617906683</v>
      </c>
      <c r="J1358" s="81">
        <f t="shared" si="2"/>
        <v>0.3819845857</v>
      </c>
    </row>
    <row r="1359">
      <c r="A1359" s="82">
        <v>44708.0</v>
      </c>
      <c r="B1359" s="66">
        <v>2004.0</v>
      </c>
      <c r="C1359" s="66">
        <v>2.0</v>
      </c>
      <c r="D1359" s="66" t="s">
        <v>205</v>
      </c>
      <c r="E1359" s="66">
        <v>0.0</v>
      </c>
      <c r="F1359" s="66">
        <v>0.1511</v>
      </c>
      <c r="G1359" s="66">
        <v>0.0577</v>
      </c>
      <c r="I1359" s="81">
        <f t="shared" si="1"/>
        <v>1.618717504</v>
      </c>
      <c r="J1359" s="81">
        <f t="shared" si="2"/>
        <v>0.3818663137</v>
      </c>
    </row>
    <row r="1360">
      <c r="A1360" s="82">
        <v>44708.0</v>
      </c>
      <c r="B1360" s="66">
        <v>2004.0</v>
      </c>
      <c r="C1360" s="66">
        <v>2.0</v>
      </c>
      <c r="D1360" s="66" t="s">
        <v>204</v>
      </c>
      <c r="E1360" s="66">
        <v>0.0</v>
      </c>
      <c r="F1360" s="66">
        <v>0.0946</v>
      </c>
      <c r="G1360" s="66">
        <v>0.036</v>
      </c>
      <c r="H1360" s="66" t="s">
        <v>226</v>
      </c>
      <c r="I1360" s="81">
        <f t="shared" si="1"/>
        <v>1.627777778</v>
      </c>
      <c r="J1360" s="81">
        <f t="shared" si="2"/>
        <v>0.3805496829</v>
      </c>
    </row>
    <row r="1361">
      <c r="A1361" s="82">
        <v>44708.0</v>
      </c>
      <c r="B1361" s="66">
        <v>2004.0</v>
      </c>
      <c r="C1361" s="66">
        <v>3.0</v>
      </c>
      <c r="D1361" s="66" t="s">
        <v>205</v>
      </c>
      <c r="E1361" s="66">
        <v>0.0</v>
      </c>
      <c r="F1361" s="66">
        <v>0.0184</v>
      </c>
      <c r="G1361" s="66">
        <v>0.007</v>
      </c>
      <c r="H1361" s="66" t="s">
        <v>226</v>
      </c>
      <c r="I1361" s="81">
        <f t="shared" si="1"/>
        <v>1.628571429</v>
      </c>
      <c r="J1361" s="81">
        <f t="shared" si="2"/>
        <v>0.3804347826</v>
      </c>
    </row>
    <row r="1362">
      <c r="A1362" s="82">
        <v>44708.0</v>
      </c>
      <c r="B1362" s="66">
        <v>2004.0</v>
      </c>
      <c r="C1362" s="66">
        <v>3.0</v>
      </c>
      <c r="D1362" s="66" t="s">
        <v>204</v>
      </c>
      <c r="E1362" s="66">
        <v>0.0</v>
      </c>
      <c r="F1362" s="66">
        <v>0.145</v>
      </c>
      <c r="G1362" s="66">
        <v>0.055</v>
      </c>
      <c r="H1362" s="66" t="s">
        <v>229</v>
      </c>
      <c r="I1362" s="81">
        <f t="shared" si="1"/>
        <v>1.636363636</v>
      </c>
      <c r="J1362" s="81">
        <f t="shared" si="2"/>
        <v>0.3793103448</v>
      </c>
    </row>
    <row r="1363">
      <c r="A1363" s="82">
        <v>44708.0</v>
      </c>
      <c r="B1363" s="66">
        <v>2005.0</v>
      </c>
      <c r="C1363" s="66">
        <v>1.0</v>
      </c>
      <c r="D1363" s="66" t="s">
        <v>205</v>
      </c>
      <c r="E1363" s="66">
        <v>0.0</v>
      </c>
      <c r="F1363" s="66">
        <v>0.203</v>
      </c>
      <c r="G1363" s="66">
        <v>0.077</v>
      </c>
      <c r="H1363" s="66" t="s">
        <v>229</v>
      </c>
      <c r="I1363" s="81">
        <f t="shared" si="1"/>
        <v>1.636363636</v>
      </c>
      <c r="J1363" s="81">
        <f t="shared" si="2"/>
        <v>0.3793103448</v>
      </c>
    </row>
    <row r="1364">
      <c r="A1364" s="82">
        <v>44708.0</v>
      </c>
      <c r="B1364" s="66">
        <v>2005.0</v>
      </c>
      <c r="C1364" s="66">
        <v>1.0</v>
      </c>
      <c r="D1364" s="66" t="s">
        <v>204</v>
      </c>
      <c r="E1364" s="66">
        <v>0.0</v>
      </c>
      <c r="F1364" s="66">
        <v>0.082</v>
      </c>
      <c r="G1364" s="66">
        <v>0.031</v>
      </c>
      <c r="H1364" s="66" t="s">
        <v>229</v>
      </c>
      <c r="I1364" s="81">
        <f t="shared" si="1"/>
        <v>1.64516129</v>
      </c>
      <c r="J1364" s="81">
        <f t="shared" si="2"/>
        <v>0.3780487805</v>
      </c>
    </row>
    <row r="1365">
      <c r="A1365" s="82">
        <v>44708.0</v>
      </c>
      <c r="B1365" s="66">
        <v>2005.0</v>
      </c>
      <c r="C1365" s="66">
        <v>2.0</v>
      </c>
      <c r="D1365" s="66" t="s">
        <v>205</v>
      </c>
      <c r="E1365" s="66">
        <v>0.0</v>
      </c>
      <c r="F1365" s="66">
        <v>0.2299</v>
      </c>
      <c r="G1365" s="66">
        <v>0.0865</v>
      </c>
      <c r="H1365" s="66" t="s">
        <v>226</v>
      </c>
      <c r="I1365" s="81">
        <f t="shared" si="1"/>
        <v>1.657803468</v>
      </c>
      <c r="J1365" s="81">
        <f t="shared" si="2"/>
        <v>0.3762505437</v>
      </c>
    </row>
    <row r="1366">
      <c r="A1366" s="82">
        <v>44708.0</v>
      </c>
      <c r="B1366" s="66">
        <v>2005.0</v>
      </c>
      <c r="C1366" s="66">
        <v>2.0</v>
      </c>
      <c r="D1366" s="66" t="s">
        <v>204</v>
      </c>
      <c r="E1366" s="66">
        <v>0.0</v>
      </c>
      <c r="F1366" s="66">
        <v>0.7471</v>
      </c>
      <c r="G1366" s="66">
        <v>0.281</v>
      </c>
      <c r="H1366" s="66" t="s">
        <v>226</v>
      </c>
      <c r="I1366" s="81">
        <f t="shared" si="1"/>
        <v>1.658718861</v>
      </c>
      <c r="J1366" s="81">
        <f t="shared" si="2"/>
        <v>0.3761210012</v>
      </c>
    </row>
    <row r="1367">
      <c r="A1367" s="82">
        <v>44708.0</v>
      </c>
      <c r="B1367" s="66">
        <v>2005.0</v>
      </c>
      <c r="C1367" s="66">
        <v>3.0</v>
      </c>
      <c r="D1367" s="66" t="s">
        <v>205</v>
      </c>
      <c r="E1367" s="66">
        <v>0.0</v>
      </c>
      <c r="F1367" s="66">
        <v>0.678</v>
      </c>
      <c r="G1367" s="66">
        <v>0.255</v>
      </c>
      <c r="H1367" s="66" t="s">
        <v>229</v>
      </c>
      <c r="I1367" s="81">
        <f t="shared" si="1"/>
        <v>1.658823529</v>
      </c>
      <c r="J1367" s="81">
        <f t="shared" si="2"/>
        <v>0.3761061947</v>
      </c>
    </row>
    <row r="1368">
      <c r="A1368" s="82">
        <v>44708.0</v>
      </c>
      <c r="B1368" s="66">
        <v>2005.0</v>
      </c>
      <c r="C1368" s="66">
        <v>3.0</v>
      </c>
      <c r="D1368" s="66" t="s">
        <v>204</v>
      </c>
      <c r="E1368" s="66">
        <v>0.0</v>
      </c>
      <c r="F1368" s="66">
        <v>0.125</v>
      </c>
      <c r="G1368" s="66">
        <v>0.047</v>
      </c>
      <c r="H1368" s="66" t="s">
        <v>229</v>
      </c>
      <c r="I1368" s="81">
        <f t="shared" si="1"/>
        <v>1.659574468</v>
      </c>
      <c r="J1368" s="81">
        <f t="shared" si="2"/>
        <v>0.376</v>
      </c>
    </row>
    <row r="1369">
      <c r="A1369" s="82">
        <v>44708.0</v>
      </c>
      <c r="B1369" s="66">
        <v>2006.0</v>
      </c>
      <c r="C1369" s="66">
        <v>1.0</v>
      </c>
      <c r="D1369" s="66" t="s">
        <v>205</v>
      </c>
      <c r="E1369" s="66">
        <v>0.0</v>
      </c>
      <c r="F1369" s="66">
        <v>0.0333</v>
      </c>
      <c r="G1369" s="66">
        <v>0.0125</v>
      </c>
      <c r="I1369" s="81">
        <f t="shared" si="1"/>
        <v>1.664</v>
      </c>
      <c r="J1369" s="81">
        <f t="shared" si="2"/>
        <v>0.3753753754</v>
      </c>
    </row>
    <row r="1370">
      <c r="A1370" s="82">
        <v>44708.0</v>
      </c>
      <c r="B1370" s="66">
        <v>2006.0</v>
      </c>
      <c r="C1370" s="66">
        <v>1.0</v>
      </c>
      <c r="D1370" s="66" t="s">
        <v>204</v>
      </c>
      <c r="E1370" s="66">
        <v>0.0</v>
      </c>
      <c r="F1370" s="66">
        <v>1.4125</v>
      </c>
      <c r="G1370" s="66">
        <v>0.529</v>
      </c>
      <c r="H1370" s="66" t="s">
        <v>226</v>
      </c>
      <c r="I1370" s="81">
        <f t="shared" si="1"/>
        <v>1.670132325</v>
      </c>
      <c r="J1370" s="81">
        <f t="shared" si="2"/>
        <v>0.3745132743</v>
      </c>
    </row>
    <row r="1371">
      <c r="A1371" s="82">
        <v>44708.0</v>
      </c>
      <c r="B1371" s="66">
        <v>2006.0</v>
      </c>
      <c r="C1371" s="66">
        <v>2.0</v>
      </c>
      <c r="D1371" s="66" t="s">
        <v>205</v>
      </c>
      <c r="E1371" s="66">
        <v>0.0</v>
      </c>
      <c r="F1371" s="66">
        <v>0.5559</v>
      </c>
      <c r="G1371" s="84">
        <v>0.208</v>
      </c>
      <c r="I1371" s="81">
        <f t="shared" si="1"/>
        <v>1.672596154</v>
      </c>
      <c r="J1371" s="81">
        <f t="shared" si="2"/>
        <v>0.3741680158</v>
      </c>
    </row>
    <row r="1372">
      <c r="A1372" s="82">
        <v>44708.0</v>
      </c>
      <c r="B1372" s="66">
        <v>2006.0</v>
      </c>
      <c r="C1372" s="66">
        <v>2.0</v>
      </c>
      <c r="D1372" s="66" t="s">
        <v>204</v>
      </c>
      <c r="E1372" s="66">
        <v>0.0</v>
      </c>
      <c r="F1372" s="66">
        <v>0.0565</v>
      </c>
      <c r="G1372" s="66">
        <v>0.021</v>
      </c>
      <c r="H1372" s="66" t="s">
        <v>226</v>
      </c>
      <c r="I1372" s="81">
        <f t="shared" si="1"/>
        <v>1.69047619</v>
      </c>
      <c r="J1372" s="81">
        <f t="shared" si="2"/>
        <v>0.3716814159</v>
      </c>
    </row>
    <row r="1373">
      <c r="A1373" s="82">
        <v>44708.0</v>
      </c>
      <c r="B1373" s="66">
        <v>2006.0</v>
      </c>
      <c r="C1373" s="66">
        <v>3.0</v>
      </c>
      <c r="D1373" s="66" t="s">
        <v>205</v>
      </c>
      <c r="E1373" s="66">
        <v>0.0</v>
      </c>
      <c r="F1373" s="66">
        <v>0.0245</v>
      </c>
      <c r="G1373" s="66">
        <v>0.0091</v>
      </c>
      <c r="H1373" s="66" t="s">
        <v>226</v>
      </c>
      <c r="I1373" s="81">
        <f t="shared" si="1"/>
        <v>1.692307692</v>
      </c>
      <c r="J1373" s="81">
        <f t="shared" si="2"/>
        <v>0.3714285714</v>
      </c>
    </row>
    <row r="1374">
      <c r="A1374" s="82">
        <v>44708.0</v>
      </c>
      <c r="B1374" s="66">
        <v>2006.0</v>
      </c>
      <c r="C1374" s="66">
        <v>3.0</v>
      </c>
      <c r="D1374" s="66" t="s">
        <v>204</v>
      </c>
      <c r="E1374" s="66">
        <v>0.0</v>
      </c>
      <c r="F1374" s="66">
        <v>0.0371</v>
      </c>
      <c r="G1374" s="66">
        <v>0.0137</v>
      </c>
      <c r="H1374" s="66" t="s">
        <v>226</v>
      </c>
      <c r="I1374" s="81">
        <f t="shared" si="1"/>
        <v>1.708029197</v>
      </c>
      <c r="J1374" s="81">
        <f t="shared" si="2"/>
        <v>0.3692722372</v>
      </c>
    </row>
    <row r="1375">
      <c r="A1375" s="82">
        <v>44708.0</v>
      </c>
      <c r="B1375" s="66">
        <v>2007.0</v>
      </c>
      <c r="C1375" s="66">
        <v>1.0</v>
      </c>
      <c r="D1375" s="66" t="s">
        <v>205</v>
      </c>
      <c r="E1375" s="66">
        <v>0.0</v>
      </c>
      <c r="F1375" s="66">
        <v>2.684</v>
      </c>
      <c r="G1375" s="66">
        <v>0.99</v>
      </c>
      <c r="H1375" s="66" t="s">
        <v>228</v>
      </c>
      <c r="I1375" s="81">
        <f t="shared" si="1"/>
        <v>1.711111111</v>
      </c>
      <c r="J1375" s="81">
        <f t="shared" si="2"/>
        <v>0.368852459</v>
      </c>
    </row>
    <row r="1376">
      <c r="A1376" s="82">
        <v>44708.0</v>
      </c>
      <c r="B1376" s="66">
        <v>2007.0</v>
      </c>
      <c r="C1376" s="66">
        <v>1.0</v>
      </c>
      <c r="D1376" s="66" t="s">
        <v>204</v>
      </c>
      <c r="E1376" s="66">
        <v>0.0</v>
      </c>
      <c r="F1376" s="66">
        <v>0.0823</v>
      </c>
      <c r="G1376" s="66">
        <v>0.0303</v>
      </c>
      <c r="I1376" s="81">
        <f t="shared" si="1"/>
        <v>1.716171617</v>
      </c>
      <c r="J1376" s="81">
        <f t="shared" si="2"/>
        <v>0.3681652491</v>
      </c>
    </row>
    <row r="1377">
      <c r="A1377" s="82">
        <v>44708.0</v>
      </c>
      <c r="B1377" s="66">
        <v>2007.0</v>
      </c>
      <c r="C1377" s="66">
        <v>1.0</v>
      </c>
      <c r="D1377" s="66" t="s">
        <v>204</v>
      </c>
      <c r="E1377" s="66">
        <v>1.0</v>
      </c>
      <c r="F1377" s="66">
        <v>1.2544</v>
      </c>
      <c r="G1377" s="66">
        <v>0.461</v>
      </c>
      <c r="H1377" s="66" t="s">
        <v>226</v>
      </c>
      <c r="I1377" s="81">
        <f t="shared" si="1"/>
        <v>1.721041215</v>
      </c>
      <c r="J1377" s="81">
        <f t="shared" si="2"/>
        <v>0.3675063776</v>
      </c>
    </row>
    <row r="1378">
      <c r="A1378" s="82">
        <v>44708.0</v>
      </c>
      <c r="B1378" s="66">
        <v>2007.0</v>
      </c>
      <c r="C1378" s="66">
        <v>2.0</v>
      </c>
      <c r="D1378" s="66" t="s">
        <v>205</v>
      </c>
      <c r="E1378" s="66">
        <v>0.0</v>
      </c>
      <c r="F1378" s="66">
        <v>0.7187</v>
      </c>
      <c r="G1378" s="66">
        <v>0.264</v>
      </c>
      <c r="H1378" s="66" t="s">
        <v>226</v>
      </c>
      <c r="I1378" s="81">
        <f t="shared" si="1"/>
        <v>1.722348485</v>
      </c>
      <c r="J1378" s="81">
        <f t="shared" si="2"/>
        <v>0.3673299012</v>
      </c>
    </row>
    <row r="1379">
      <c r="A1379" s="82">
        <v>44708.0</v>
      </c>
      <c r="B1379" s="66">
        <v>2007.0</v>
      </c>
      <c r="C1379" s="66">
        <v>2.0</v>
      </c>
      <c r="D1379" s="66" t="s">
        <v>204</v>
      </c>
      <c r="E1379" s="66">
        <v>0.0</v>
      </c>
      <c r="F1379" s="66">
        <v>0.159</v>
      </c>
      <c r="G1379" s="66">
        <v>0.058</v>
      </c>
      <c r="H1379" s="66" t="s">
        <v>229</v>
      </c>
      <c r="I1379" s="81">
        <f t="shared" si="1"/>
        <v>1.74137931</v>
      </c>
      <c r="J1379" s="81">
        <f t="shared" si="2"/>
        <v>0.3647798742</v>
      </c>
    </row>
    <row r="1380">
      <c r="A1380" s="82">
        <v>44708.0</v>
      </c>
      <c r="B1380" s="66">
        <v>2007.0</v>
      </c>
      <c r="C1380" s="66">
        <v>2.0</v>
      </c>
      <c r="D1380" s="66" t="s">
        <v>204</v>
      </c>
      <c r="E1380" s="66">
        <v>1.0</v>
      </c>
      <c r="F1380" s="66">
        <v>0.011</v>
      </c>
      <c r="G1380" s="66">
        <v>0.004</v>
      </c>
      <c r="H1380" s="66" t="s">
        <v>229</v>
      </c>
      <c r="I1380" s="81">
        <f t="shared" si="1"/>
        <v>1.75</v>
      </c>
      <c r="J1380" s="81">
        <f t="shared" si="2"/>
        <v>0.3636363636</v>
      </c>
    </row>
    <row r="1381">
      <c r="A1381" s="82">
        <v>44708.0</v>
      </c>
      <c r="B1381" s="66">
        <v>2007.0</v>
      </c>
      <c r="C1381" s="66">
        <v>3.0</v>
      </c>
      <c r="D1381" s="66" t="s">
        <v>205</v>
      </c>
      <c r="E1381" s="66">
        <v>0.0</v>
      </c>
      <c r="F1381" s="66">
        <v>0.033</v>
      </c>
      <c r="G1381" s="66">
        <v>0.012</v>
      </c>
      <c r="H1381" s="66" t="s">
        <v>229</v>
      </c>
      <c r="I1381" s="81">
        <f t="shared" si="1"/>
        <v>1.75</v>
      </c>
      <c r="J1381" s="81">
        <f t="shared" si="2"/>
        <v>0.3636363636</v>
      </c>
    </row>
    <row r="1382">
      <c r="A1382" s="82">
        <v>44708.0</v>
      </c>
      <c r="B1382" s="66">
        <v>2007.0</v>
      </c>
      <c r="C1382" s="66">
        <v>3.0</v>
      </c>
      <c r="D1382" s="66" t="s">
        <v>204</v>
      </c>
      <c r="E1382" s="66">
        <v>0.0</v>
      </c>
      <c r="F1382" s="66">
        <v>3.837</v>
      </c>
      <c r="G1382" s="66">
        <v>1.394</v>
      </c>
      <c r="H1382" s="66" t="s">
        <v>228</v>
      </c>
      <c r="I1382" s="81">
        <f t="shared" si="1"/>
        <v>1.75251076</v>
      </c>
      <c r="J1382" s="81">
        <f t="shared" si="2"/>
        <v>0.3633046651</v>
      </c>
    </row>
    <row r="1383">
      <c r="A1383" s="82">
        <v>44708.0</v>
      </c>
      <c r="B1383" s="66">
        <v>2007.0</v>
      </c>
      <c r="C1383" s="66">
        <v>3.0</v>
      </c>
      <c r="D1383" s="66" t="s">
        <v>204</v>
      </c>
      <c r="E1383" s="66">
        <v>1.0</v>
      </c>
      <c r="F1383" s="66">
        <v>0.069</v>
      </c>
      <c r="G1383" s="66">
        <v>0.025</v>
      </c>
      <c r="H1383" s="66" t="s">
        <v>229</v>
      </c>
      <c r="I1383" s="81">
        <f t="shared" si="1"/>
        <v>1.76</v>
      </c>
      <c r="J1383" s="81">
        <f t="shared" si="2"/>
        <v>0.3623188406</v>
      </c>
    </row>
    <row r="1384">
      <c r="A1384" s="82">
        <v>44708.0</v>
      </c>
      <c r="B1384" s="66">
        <v>2008.0</v>
      </c>
      <c r="C1384" s="66">
        <v>1.0</v>
      </c>
      <c r="D1384" s="66" t="s">
        <v>205</v>
      </c>
      <c r="E1384" s="66">
        <v>0.0</v>
      </c>
      <c r="F1384" s="66">
        <v>0.138</v>
      </c>
      <c r="G1384" s="66">
        <v>0.05</v>
      </c>
      <c r="H1384" s="66" t="s">
        <v>229</v>
      </c>
      <c r="I1384" s="81">
        <f t="shared" si="1"/>
        <v>1.76</v>
      </c>
      <c r="J1384" s="81">
        <f t="shared" si="2"/>
        <v>0.3623188406</v>
      </c>
    </row>
    <row r="1385">
      <c r="A1385" s="82">
        <v>44708.0</v>
      </c>
      <c r="B1385" s="66">
        <v>2008.0</v>
      </c>
      <c r="C1385" s="66">
        <v>1.0</v>
      </c>
      <c r="D1385" s="66" t="s">
        <v>204</v>
      </c>
      <c r="E1385" s="66">
        <v>0.0</v>
      </c>
      <c r="F1385" s="66">
        <v>0.036</v>
      </c>
      <c r="G1385" s="66">
        <v>0.013</v>
      </c>
      <c r="H1385" s="66" t="s">
        <v>229</v>
      </c>
      <c r="I1385" s="81">
        <f t="shared" si="1"/>
        <v>1.769230769</v>
      </c>
      <c r="J1385" s="81">
        <f t="shared" si="2"/>
        <v>0.3611111111</v>
      </c>
    </row>
    <row r="1386">
      <c r="A1386" s="82">
        <v>44708.0</v>
      </c>
      <c r="B1386" s="66">
        <v>2008.0</v>
      </c>
      <c r="C1386" s="66">
        <v>1.0</v>
      </c>
      <c r="D1386" s="66" t="s">
        <v>204</v>
      </c>
      <c r="E1386" s="66">
        <v>1.0</v>
      </c>
      <c r="F1386" s="66">
        <v>0.9958</v>
      </c>
      <c r="G1386" s="66">
        <v>0.359</v>
      </c>
      <c r="H1386" s="66" t="s">
        <v>226</v>
      </c>
      <c r="I1386" s="81">
        <f t="shared" si="1"/>
        <v>1.773816156</v>
      </c>
      <c r="J1386" s="81">
        <f t="shared" si="2"/>
        <v>0.3605141595</v>
      </c>
    </row>
    <row r="1387">
      <c r="A1387" s="82">
        <v>44708.0</v>
      </c>
      <c r="B1387" s="66">
        <v>2008.0</v>
      </c>
      <c r="C1387" s="66">
        <v>2.0</v>
      </c>
      <c r="D1387" s="66" t="s">
        <v>205</v>
      </c>
      <c r="E1387" s="66">
        <v>0.0</v>
      </c>
      <c r="F1387" s="66">
        <v>0.0333</v>
      </c>
      <c r="G1387" s="66">
        <v>0.012</v>
      </c>
      <c r="H1387" s="66" t="s">
        <v>226</v>
      </c>
      <c r="I1387" s="81">
        <f t="shared" si="1"/>
        <v>1.775</v>
      </c>
      <c r="J1387" s="81">
        <f t="shared" si="2"/>
        <v>0.3603603604</v>
      </c>
    </row>
    <row r="1388">
      <c r="A1388" s="82">
        <v>44708.0</v>
      </c>
      <c r="B1388" s="66">
        <v>2008.0</v>
      </c>
      <c r="C1388" s="66">
        <v>2.0</v>
      </c>
      <c r="D1388" s="66" t="s">
        <v>204</v>
      </c>
      <c r="E1388" s="66">
        <v>0.0</v>
      </c>
      <c r="F1388" s="66">
        <v>0.2559</v>
      </c>
      <c r="G1388" s="66">
        <v>0.092</v>
      </c>
      <c r="H1388" s="66" t="s">
        <v>226</v>
      </c>
      <c r="I1388" s="81">
        <f t="shared" si="1"/>
        <v>1.781521739</v>
      </c>
      <c r="J1388" s="81">
        <f t="shared" si="2"/>
        <v>0.3595154357</v>
      </c>
    </row>
    <row r="1389">
      <c r="A1389" s="82">
        <v>44708.0</v>
      </c>
      <c r="B1389" s="66">
        <v>2008.0</v>
      </c>
      <c r="C1389" s="66">
        <v>2.0</v>
      </c>
      <c r="D1389" s="66" t="s">
        <v>204</v>
      </c>
      <c r="E1389" s="66">
        <v>1.0</v>
      </c>
      <c r="F1389" s="66">
        <v>0.9085</v>
      </c>
      <c r="G1389" s="66">
        <v>0.326</v>
      </c>
      <c r="H1389" s="66" t="s">
        <v>226</v>
      </c>
      <c r="I1389" s="81">
        <f t="shared" si="1"/>
        <v>1.786809816</v>
      </c>
      <c r="J1389" s="81">
        <f t="shared" si="2"/>
        <v>0.3588332416</v>
      </c>
    </row>
    <row r="1390">
      <c r="A1390" s="82">
        <v>44708.0</v>
      </c>
      <c r="B1390" s="66">
        <v>2008.0</v>
      </c>
      <c r="C1390" s="66">
        <v>3.0</v>
      </c>
      <c r="D1390" s="66" t="s">
        <v>205</v>
      </c>
      <c r="E1390" s="66">
        <v>0.0</v>
      </c>
      <c r="F1390" s="66">
        <v>0.07</v>
      </c>
      <c r="G1390" s="66">
        <v>0.025</v>
      </c>
      <c r="H1390" s="66" t="s">
        <v>229</v>
      </c>
      <c r="I1390" s="81">
        <f t="shared" si="1"/>
        <v>1.8</v>
      </c>
      <c r="J1390" s="81">
        <f t="shared" si="2"/>
        <v>0.3571428571</v>
      </c>
    </row>
    <row r="1391">
      <c r="A1391" s="82">
        <v>44708.0</v>
      </c>
      <c r="B1391" s="66">
        <v>2008.0</v>
      </c>
      <c r="C1391" s="66">
        <v>3.0</v>
      </c>
      <c r="D1391" s="66" t="s">
        <v>204</v>
      </c>
      <c r="E1391" s="66">
        <v>0.0</v>
      </c>
      <c r="F1391" s="66">
        <v>1.723</v>
      </c>
      <c r="G1391" s="66">
        <v>0.614</v>
      </c>
      <c r="H1391" s="66" t="s">
        <v>228</v>
      </c>
      <c r="I1391" s="81">
        <f t="shared" si="1"/>
        <v>1.806188925</v>
      </c>
      <c r="J1391" s="81">
        <f t="shared" si="2"/>
        <v>0.3563551944</v>
      </c>
    </row>
    <row r="1392">
      <c r="A1392" s="82">
        <v>44708.0</v>
      </c>
      <c r="B1392" s="66">
        <v>2008.0</v>
      </c>
      <c r="C1392" s="66">
        <v>3.0</v>
      </c>
      <c r="D1392" s="66" t="s">
        <v>204</v>
      </c>
      <c r="E1392" s="66">
        <v>1.0</v>
      </c>
      <c r="F1392" s="66">
        <v>0.045</v>
      </c>
      <c r="G1392" s="66">
        <v>0.016</v>
      </c>
      <c r="H1392" s="66" t="s">
        <v>229</v>
      </c>
      <c r="I1392" s="81">
        <f t="shared" si="1"/>
        <v>1.8125</v>
      </c>
      <c r="J1392" s="81">
        <f t="shared" si="2"/>
        <v>0.3555555556</v>
      </c>
    </row>
    <row r="1393">
      <c r="A1393" s="82">
        <v>44708.0</v>
      </c>
      <c r="B1393" s="66">
        <v>2012.0</v>
      </c>
      <c r="C1393" s="66">
        <v>1.0</v>
      </c>
      <c r="D1393" s="66" t="s">
        <v>205</v>
      </c>
      <c r="E1393" s="66">
        <v>0.0</v>
      </c>
      <c r="F1393" s="66">
        <v>0.9452</v>
      </c>
      <c r="G1393" s="66">
        <v>0.335</v>
      </c>
      <c r="H1393" s="66" t="s">
        <v>226</v>
      </c>
      <c r="I1393" s="81">
        <f t="shared" si="1"/>
        <v>1.821492537</v>
      </c>
      <c r="J1393" s="81">
        <f t="shared" si="2"/>
        <v>0.3544223445</v>
      </c>
    </row>
    <row r="1394">
      <c r="A1394" s="82">
        <v>44708.0</v>
      </c>
      <c r="B1394" s="66">
        <v>2012.0</v>
      </c>
      <c r="C1394" s="66">
        <v>1.0</v>
      </c>
      <c r="D1394" s="66" t="s">
        <v>204</v>
      </c>
      <c r="E1394" s="66">
        <v>0.0</v>
      </c>
      <c r="F1394" s="66">
        <v>1.55</v>
      </c>
      <c r="G1394" s="66">
        <v>0.549</v>
      </c>
      <c r="H1394" s="66" t="s">
        <v>228</v>
      </c>
      <c r="I1394" s="81">
        <f t="shared" si="1"/>
        <v>1.823315118</v>
      </c>
      <c r="J1394" s="81">
        <f t="shared" si="2"/>
        <v>0.3541935484</v>
      </c>
    </row>
    <row r="1395">
      <c r="A1395" s="82">
        <v>44708.0</v>
      </c>
      <c r="B1395" s="66">
        <v>2012.0</v>
      </c>
      <c r="C1395" s="66">
        <v>2.0</v>
      </c>
      <c r="D1395" s="66" t="s">
        <v>205</v>
      </c>
      <c r="E1395" s="66">
        <v>0.0</v>
      </c>
      <c r="F1395" s="66">
        <v>0.065</v>
      </c>
      <c r="G1395" s="66">
        <v>0.023</v>
      </c>
      <c r="H1395" s="66" t="s">
        <v>229</v>
      </c>
      <c r="I1395" s="81">
        <f t="shared" si="1"/>
        <v>1.826086957</v>
      </c>
      <c r="J1395" s="81">
        <f t="shared" si="2"/>
        <v>0.3538461538</v>
      </c>
    </row>
    <row r="1396">
      <c r="A1396" s="82">
        <v>44708.0</v>
      </c>
      <c r="B1396" s="66">
        <v>2012.0</v>
      </c>
      <c r="C1396" s="66">
        <v>2.0</v>
      </c>
      <c r="D1396" s="66" t="s">
        <v>204</v>
      </c>
      <c r="E1396" s="66">
        <v>0.0</v>
      </c>
      <c r="F1396" s="66">
        <v>0.0498</v>
      </c>
      <c r="G1396" s="66">
        <v>0.0176</v>
      </c>
      <c r="H1396" s="66" t="s">
        <v>226</v>
      </c>
      <c r="I1396" s="81">
        <f t="shared" si="1"/>
        <v>1.829545455</v>
      </c>
      <c r="J1396" s="81">
        <f t="shared" si="2"/>
        <v>0.3534136546</v>
      </c>
    </row>
    <row r="1397">
      <c r="A1397" s="82">
        <v>44708.0</v>
      </c>
      <c r="B1397" s="66">
        <v>2012.0</v>
      </c>
      <c r="C1397" s="66">
        <v>3.0</v>
      </c>
      <c r="D1397" s="66" t="s">
        <v>205</v>
      </c>
      <c r="E1397" s="66">
        <v>0.0</v>
      </c>
      <c r="F1397" s="66">
        <v>0.2612</v>
      </c>
      <c r="G1397" s="66">
        <v>0.0918</v>
      </c>
      <c r="H1397" s="66" t="s">
        <v>226</v>
      </c>
      <c r="I1397" s="81">
        <f t="shared" si="1"/>
        <v>1.845315904</v>
      </c>
      <c r="J1397" s="81">
        <f t="shared" si="2"/>
        <v>0.3514548239</v>
      </c>
    </row>
    <row r="1398">
      <c r="A1398" s="82">
        <v>44708.0</v>
      </c>
      <c r="B1398" s="66">
        <v>2012.0</v>
      </c>
      <c r="C1398" s="66">
        <v>3.0</v>
      </c>
      <c r="D1398" s="66" t="s">
        <v>204</v>
      </c>
      <c r="E1398" s="66">
        <v>0.0</v>
      </c>
      <c r="F1398" s="66">
        <v>2.021</v>
      </c>
      <c r="G1398" s="66">
        <v>0.707</v>
      </c>
      <c r="H1398" s="66" t="s">
        <v>228</v>
      </c>
      <c r="I1398" s="81">
        <f t="shared" si="1"/>
        <v>1.858557284</v>
      </c>
      <c r="J1398" s="81">
        <f t="shared" si="2"/>
        <v>0.3498268184</v>
      </c>
    </row>
    <row r="1399">
      <c r="A1399" s="82">
        <v>44708.0</v>
      </c>
      <c r="B1399" s="66">
        <v>2013.0</v>
      </c>
      <c r="C1399" s="66">
        <v>1.0</v>
      </c>
      <c r="D1399" s="66" t="s">
        <v>205</v>
      </c>
      <c r="E1399" s="66">
        <v>0.0</v>
      </c>
      <c r="F1399" s="66">
        <v>0.3604</v>
      </c>
      <c r="G1399" s="66">
        <v>0.126</v>
      </c>
      <c r="H1399" s="66" t="s">
        <v>226</v>
      </c>
      <c r="I1399" s="81">
        <f t="shared" si="1"/>
        <v>1.86031746</v>
      </c>
      <c r="J1399" s="81">
        <f t="shared" si="2"/>
        <v>0.3496115427</v>
      </c>
    </row>
    <row r="1400">
      <c r="A1400" s="82">
        <v>44708.0</v>
      </c>
      <c r="B1400" s="66">
        <v>2013.0</v>
      </c>
      <c r="C1400" s="66">
        <v>1.0</v>
      </c>
      <c r="D1400" s="66" t="s">
        <v>204</v>
      </c>
      <c r="E1400" s="66">
        <v>0.0</v>
      </c>
      <c r="F1400" s="66">
        <v>0.043</v>
      </c>
      <c r="G1400" s="66">
        <v>0.015</v>
      </c>
      <c r="H1400" s="66" t="s">
        <v>226</v>
      </c>
      <c r="I1400" s="81">
        <f t="shared" si="1"/>
        <v>1.866666667</v>
      </c>
      <c r="J1400" s="81">
        <f t="shared" si="2"/>
        <v>0.3488372093</v>
      </c>
    </row>
    <row r="1401">
      <c r="A1401" s="82">
        <v>44708.0</v>
      </c>
      <c r="B1401" s="66">
        <v>2013.0</v>
      </c>
      <c r="C1401" s="66">
        <v>2.0</v>
      </c>
      <c r="D1401" s="66" t="s">
        <v>205</v>
      </c>
      <c r="E1401" s="66">
        <v>0.0</v>
      </c>
      <c r="F1401" s="66">
        <v>0.0816</v>
      </c>
      <c r="G1401" s="66">
        <v>0.0283</v>
      </c>
      <c r="H1401" s="66" t="s">
        <v>226</v>
      </c>
      <c r="I1401" s="81">
        <f t="shared" si="1"/>
        <v>1.883392226</v>
      </c>
      <c r="J1401" s="81">
        <f t="shared" si="2"/>
        <v>0.3468137255</v>
      </c>
    </row>
    <row r="1402">
      <c r="A1402" s="82">
        <v>44708.0</v>
      </c>
      <c r="B1402" s="66">
        <v>2013.0</v>
      </c>
      <c r="C1402" s="66">
        <v>2.0</v>
      </c>
      <c r="D1402" s="66" t="s">
        <v>204</v>
      </c>
      <c r="E1402" s="66">
        <v>0.0</v>
      </c>
      <c r="F1402" s="66">
        <v>0.13</v>
      </c>
      <c r="G1402" s="66">
        <v>0.045</v>
      </c>
      <c r="H1402" s="66" t="s">
        <v>229</v>
      </c>
      <c r="I1402" s="81">
        <f t="shared" si="1"/>
        <v>1.888888889</v>
      </c>
      <c r="J1402" s="81">
        <f t="shared" si="2"/>
        <v>0.3461538462</v>
      </c>
    </row>
    <row r="1403">
      <c r="A1403" s="82">
        <v>44708.0</v>
      </c>
      <c r="B1403" s="66">
        <v>2013.0</v>
      </c>
      <c r="C1403" s="66">
        <v>3.0</v>
      </c>
      <c r="D1403" s="66" t="s">
        <v>205</v>
      </c>
      <c r="E1403" s="66">
        <v>0.0</v>
      </c>
      <c r="F1403" s="66">
        <v>0.5932</v>
      </c>
      <c r="G1403" s="66">
        <v>0.205</v>
      </c>
      <c r="H1403" s="66" t="s">
        <v>226</v>
      </c>
      <c r="I1403" s="81">
        <f t="shared" si="1"/>
        <v>1.893658537</v>
      </c>
      <c r="J1403" s="81">
        <f t="shared" si="2"/>
        <v>0.3455832771</v>
      </c>
    </row>
    <row r="1404">
      <c r="A1404" s="82">
        <v>44708.0</v>
      </c>
      <c r="B1404" s="66">
        <v>2013.0</v>
      </c>
      <c r="C1404" s="66">
        <v>3.0</v>
      </c>
      <c r="D1404" s="66" t="s">
        <v>204</v>
      </c>
      <c r="E1404" s="66">
        <v>0.0</v>
      </c>
      <c r="F1404" s="66">
        <v>0.0953</v>
      </c>
      <c r="G1404" s="66">
        <v>0.0329</v>
      </c>
      <c r="H1404" s="66" t="s">
        <v>226</v>
      </c>
      <c r="I1404" s="81">
        <f t="shared" si="1"/>
        <v>1.896656535</v>
      </c>
      <c r="J1404" s="81">
        <f t="shared" si="2"/>
        <v>0.3452256034</v>
      </c>
    </row>
    <row r="1405">
      <c r="A1405" s="82">
        <v>44708.0</v>
      </c>
      <c r="B1405" s="66">
        <v>2013.0</v>
      </c>
      <c r="C1405" s="66">
        <v>3.0</v>
      </c>
      <c r="D1405" s="66" t="s">
        <v>204</v>
      </c>
      <c r="E1405" s="66">
        <v>1.0</v>
      </c>
      <c r="F1405" s="66">
        <v>0.1073</v>
      </c>
      <c r="G1405" s="66">
        <v>0.037</v>
      </c>
      <c r="H1405" s="66" t="s">
        <v>226</v>
      </c>
      <c r="I1405" s="81">
        <f t="shared" si="1"/>
        <v>1.9</v>
      </c>
      <c r="J1405" s="81">
        <f t="shared" si="2"/>
        <v>0.3448275862</v>
      </c>
    </row>
    <row r="1406">
      <c r="A1406" s="82">
        <v>44708.0</v>
      </c>
      <c r="B1406" s="66">
        <v>2015.0</v>
      </c>
      <c r="C1406" s="66">
        <v>1.0</v>
      </c>
      <c r="D1406" s="66" t="s">
        <v>205</v>
      </c>
      <c r="E1406" s="66">
        <v>0.0</v>
      </c>
      <c r="F1406" s="66">
        <v>0.029</v>
      </c>
      <c r="G1406" s="66">
        <v>0.01</v>
      </c>
      <c r="H1406" s="66" t="s">
        <v>229</v>
      </c>
      <c r="I1406" s="81">
        <f t="shared" si="1"/>
        <v>1.9</v>
      </c>
      <c r="J1406" s="81">
        <f t="shared" si="2"/>
        <v>0.3448275862</v>
      </c>
    </row>
    <row r="1407">
      <c r="A1407" s="82">
        <v>44708.0</v>
      </c>
      <c r="B1407" s="66">
        <v>2015.0</v>
      </c>
      <c r="C1407" s="66">
        <v>1.0</v>
      </c>
      <c r="D1407" s="66" t="s">
        <v>204</v>
      </c>
      <c r="E1407" s="66">
        <v>0.0</v>
      </c>
      <c r="F1407" s="66">
        <v>0.0938</v>
      </c>
      <c r="G1407" s="66">
        <v>0.0323</v>
      </c>
      <c r="H1407" s="66" t="s">
        <v>226</v>
      </c>
      <c r="I1407" s="81">
        <f t="shared" si="1"/>
        <v>1.904024768</v>
      </c>
      <c r="J1407" s="81">
        <f t="shared" si="2"/>
        <v>0.3443496802</v>
      </c>
    </row>
    <row r="1408">
      <c r="A1408" s="82">
        <v>44708.0</v>
      </c>
      <c r="B1408" s="66">
        <v>2015.0</v>
      </c>
      <c r="C1408" s="66">
        <v>2.0</v>
      </c>
      <c r="D1408" s="66" t="s">
        <v>205</v>
      </c>
      <c r="E1408" s="66">
        <v>0.0</v>
      </c>
      <c r="F1408" s="66">
        <v>0.032</v>
      </c>
      <c r="G1408" s="66">
        <v>0.011</v>
      </c>
      <c r="H1408" s="66" t="s">
        <v>229</v>
      </c>
      <c r="I1408" s="81">
        <f t="shared" si="1"/>
        <v>1.909090909</v>
      </c>
      <c r="J1408" s="81">
        <f t="shared" si="2"/>
        <v>0.34375</v>
      </c>
    </row>
    <row r="1409">
      <c r="A1409" s="82">
        <v>44708.0</v>
      </c>
      <c r="B1409" s="66">
        <v>2015.0</v>
      </c>
      <c r="C1409" s="66">
        <v>2.0</v>
      </c>
      <c r="D1409" s="66" t="s">
        <v>204</v>
      </c>
      <c r="E1409" s="66">
        <v>0.0</v>
      </c>
      <c r="F1409" s="66">
        <v>0.0623</v>
      </c>
      <c r="G1409" s="66">
        <v>0.0214</v>
      </c>
      <c r="H1409" s="66" t="s">
        <v>226</v>
      </c>
      <c r="I1409" s="81">
        <f t="shared" si="1"/>
        <v>1.911214953</v>
      </c>
      <c r="J1409" s="81">
        <f t="shared" si="2"/>
        <v>0.3434991974</v>
      </c>
    </row>
    <row r="1410">
      <c r="A1410" s="82">
        <v>44708.0</v>
      </c>
      <c r="B1410" s="66">
        <v>2015.0</v>
      </c>
      <c r="C1410" s="66">
        <v>3.0</v>
      </c>
      <c r="D1410" s="66" t="s">
        <v>205</v>
      </c>
      <c r="E1410" s="66">
        <v>0.0</v>
      </c>
      <c r="F1410" s="66">
        <v>0.038</v>
      </c>
      <c r="G1410" s="66">
        <v>0.013</v>
      </c>
      <c r="H1410" s="66" t="s">
        <v>229</v>
      </c>
      <c r="I1410" s="81">
        <f t="shared" si="1"/>
        <v>1.923076923</v>
      </c>
      <c r="J1410" s="81">
        <f t="shared" si="2"/>
        <v>0.3421052632</v>
      </c>
    </row>
    <row r="1411">
      <c r="A1411" s="82">
        <v>44708.0</v>
      </c>
      <c r="B1411" s="66">
        <v>2015.0</v>
      </c>
      <c r="C1411" s="66">
        <v>3.0</v>
      </c>
      <c r="D1411" s="66" t="s">
        <v>204</v>
      </c>
      <c r="E1411" s="66">
        <v>0.0</v>
      </c>
      <c r="F1411" s="66">
        <v>1.6727</v>
      </c>
      <c r="G1411" s="66">
        <v>0.572</v>
      </c>
      <c r="H1411" s="66" t="s">
        <v>226</v>
      </c>
      <c r="I1411" s="81">
        <f t="shared" si="1"/>
        <v>1.924300699</v>
      </c>
      <c r="J1411" s="81">
        <f t="shared" si="2"/>
        <v>0.3419620972</v>
      </c>
    </row>
    <row r="1412">
      <c r="A1412" s="82">
        <v>44708.0</v>
      </c>
      <c r="B1412" s="66">
        <v>2083.0</v>
      </c>
      <c r="C1412" s="66">
        <v>2.0</v>
      </c>
      <c r="D1412" s="66" t="s">
        <v>205</v>
      </c>
      <c r="E1412" s="66">
        <v>0.0</v>
      </c>
      <c r="F1412" s="66">
        <v>0.0382</v>
      </c>
      <c r="G1412" s="66">
        <v>0.013</v>
      </c>
      <c r="H1412" s="66" t="s">
        <v>226</v>
      </c>
      <c r="I1412" s="81">
        <f t="shared" si="1"/>
        <v>1.938461538</v>
      </c>
      <c r="J1412" s="81">
        <f t="shared" si="2"/>
        <v>0.3403141361</v>
      </c>
    </row>
    <row r="1413">
      <c r="A1413" s="82">
        <v>44708.0</v>
      </c>
      <c r="B1413" s="66">
        <v>2085.0</v>
      </c>
      <c r="C1413" s="66">
        <v>1.0</v>
      </c>
      <c r="D1413" s="66" t="s">
        <v>205</v>
      </c>
      <c r="E1413" s="66">
        <v>0.0</v>
      </c>
      <c r="F1413" s="66">
        <v>0.0059</v>
      </c>
      <c r="G1413" s="66">
        <v>0.002</v>
      </c>
      <c r="H1413" s="66" t="s">
        <v>226</v>
      </c>
      <c r="I1413" s="81">
        <f t="shared" si="1"/>
        <v>1.95</v>
      </c>
      <c r="J1413" s="81">
        <f t="shared" si="2"/>
        <v>0.3389830508</v>
      </c>
    </row>
    <row r="1414">
      <c r="A1414" s="82">
        <v>44708.0</v>
      </c>
      <c r="B1414" s="66">
        <v>2085.0</v>
      </c>
      <c r="C1414" s="66">
        <v>1.0</v>
      </c>
      <c r="D1414" s="66" t="s">
        <v>204</v>
      </c>
      <c r="E1414" s="66">
        <v>0.0</v>
      </c>
      <c r="F1414" s="66">
        <v>0.0177</v>
      </c>
      <c r="G1414" s="66">
        <v>0.006</v>
      </c>
      <c r="H1414" s="66" t="s">
        <v>226</v>
      </c>
      <c r="I1414" s="81">
        <f t="shared" si="1"/>
        <v>1.95</v>
      </c>
      <c r="J1414" s="81">
        <f t="shared" si="2"/>
        <v>0.3389830508</v>
      </c>
    </row>
    <row r="1415">
      <c r="A1415" s="82">
        <v>44708.0</v>
      </c>
      <c r="B1415" s="66">
        <v>2085.0</v>
      </c>
      <c r="C1415" s="66">
        <v>2.0</v>
      </c>
      <c r="D1415" s="66" t="s">
        <v>205</v>
      </c>
      <c r="E1415" s="66">
        <v>0.0</v>
      </c>
      <c r="F1415" s="66">
        <v>0.0649</v>
      </c>
      <c r="G1415" s="66">
        <v>0.022</v>
      </c>
      <c r="H1415" s="66" t="s">
        <v>226</v>
      </c>
      <c r="I1415" s="81">
        <f t="shared" si="1"/>
        <v>1.95</v>
      </c>
      <c r="J1415" s="81">
        <f t="shared" si="2"/>
        <v>0.3389830508</v>
      </c>
    </row>
    <row r="1416">
      <c r="A1416" s="82">
        <v>44708.0</v>
      </c>
      <c r="B1416" s="66">
        <v>2085.0</v>
      </c>
      <c r="C1416" s="66">
        <v>2.0</v>
      </c>
      <c r="D1416" s="66" t="s">
        <v>204</v>
      </c>
      <c r="E1416" s="66">
        <v>0.0</v>
      </c>
      <c r="F1416" s="66">
        <v>0.1298</v>
      </c>
      <c r="G1416" s="66">
        <v>0.044</v>
      </c>
      <c r="H1416" s="66" t="s">
        <v>226</v>
      </c>
      <c r="I1416" s="81">
        <f t="shared" si="1"/>
        <v>1.95</v>
      </c>
      <c r="J1416" s="81">
        <f t="shared" si="2"/>
        <v>0.3389830508</v>
      </c>
    </row>
    <row r="1417">
      <c r="A1417" s="82">
        <v>44708.0</v>
      </c>
      <c r="B1417" s="66">
        <v>2085.0</v>
      </c>
      <c r="C1417" s="66">
        <v>3.0</v>
      </c>
      <c r="D1417" s="66" t="s">
        <v>205</v>
      </c>
      <c r="E1417" s="66">
        <v>0.0</v>
      </c>
      <c r="F1417" s="66">
        <v>1.036</v>
      </c>
      <c r="G1417" s="66">
        <v>0.351</v>
      </c>
      <c r="H1417" s="66" t="s">
        <v>229</v>
      </c>
      <c r="I1417" s="81">
        <f t="shared" si="1"/>
        <v>1.951566952</v>
      </c>
      <c r="J1417" s="81">
        <f t="shared" si="2"/>
        <v>0.3388030888</v>
      </c>
    </row>
    <row r="1418">
      <c r="A1418" s="82">
        <v>44708.0</v>
      </c>
      <c r="B1418" s="66">
        <v>2085.0</v>
      </c>
      <c r="C1418" s="66">
        <v>3.0</v>
      </c>
      <c r="D1418" s="66" t="s">
        <v>204</v>
      </c>
      <c r="E1418" s="66">
        <v>0.0</v>
      </c>
      <c r="F1418" s="66">
        <v>0.08</v>
      </c>
      <c r="G1418" s="66">
        <v>0.027</v>
      </c>
      <c r="H1418" s="66" t="s">
        <v>229</v>
      </c>
      <c r="I1418" s="81">
        <f t="shared" si="1"/>
        <v>1.962962963</v>
      </c>
      <c r="J1418" s="81">
        <f t="shared" si="2"/>
        <v>0.3375</v>
      </c>
    </row>
    <row r="1419">
      <c r="A1419" s="82">
        <v>44708.0</v>
      </c>
      <c r="B1419" s="66">
        <v>2086.0</v>
      </c>
      <c r="C1419" s="66">
        <v>1.0</v>
      </c>
      <c r="D1419" s="66" t="s">
        <v>205</v>
      </c>
      <c r="E1419" s="66">
        <v>0.0</v>
      </c>
      <c r="F1419" s="66">
        <v>0.7638</v>
      </c>
      <c r="G1419" s="66">
        <v>0.257</v>
      </c>
      <c r="H1419" s="66" t="s">
        <v>226</v>
      </c>
      <c r="I1419" s="81">
        <f t="shared" si="1"/>
        <v>1.971984436</v>
      </c>
      <c r="J1419" s="81">
        <f t="shared" si="2"/>
        <v>0.3364755172</v>
      </c>
    </row>
    <row r="1420">
      <c r="A1420" s="82">
        <v>44708.0</v>
      </c>
      <c r="B1420" s="66">
        <v>2086.0</v>
      </c>
      <c r="C1420" s="66">
        <v>1.0</v>
      </c>
      <c r="D1420" s="66" t="s">
        <v>204</v>
      </c>
      <c r="E1420" s="66">
        <v>0.0</v>
      </c>
      <c r="F1420" s="66">
        <v>0.0748</v>
      </c>
      <c r="G1420" s="66">
        <v>0.025</v>
      </c>
      <c r="H1420" s="66" t="s">
        <v>226</v>
      </c>
      <c r="I1420" s="81">
        <f t="shared" si="1"/>
        <v>1.992</v>
      </c>
      <c r="J1420" s="81">
        <f t="shared" si="2"/>
        <v>0.3342245989</v>
      </c>
    </row>
    <row r="1421">
      <c r="A1421" s="82">
        <v>44708.0</v>
      </c>
      <c r="B1421" s="66">
        <v>2086.0</v>
      </c>
      <c r="C1421" s="66">
        <v>2.0</v>
      </c>
      <c r="D1421" s="66" t="s">
        <v>205</v>
      </c>
      <c r="E1421" s="66">
        <v>0.0</v>
      </c>
      <c r="F1421" s="66">
        <v>0.1828</v>
      </c>
      <c r="G1421" s="66">
        <v>0.061</v>
      </c>
      <c r="H1421" s="66" t="s">
        <v>226</v>
      </c>
      <c r="I1421" s="81">
        <f t="shared" si="1"/>
        <v>1.996721311</v>
      </c>
      <c r="J1421" s="81">
        <f t="shared" si="2"/>
        <v>0.3336980306</v>
      </c>
    </row>
    <row r="1422">
      <c r="A1422" s="82">
        <v>44708.0</v>
      </c>
      <c r="B1422" s="66">
        <v>2086.0</v>
      </c>
      <c r="C1422" s="66">
        <v>2.0</v>
      </c>
      <c r="D1422" s="66" t="s">
        <v>204</v>
      </c>
      <c r="E1422" s="66">
        <v>0.0</v>
      </c>
      <c r="F1422" s="66">
        <v>0.0582</v>
      </c>
      <c r="G1422" s="66">
        <v>0.0194</v>
      </c>
      <c r="H1422" s="66" t="s">
        <v>226</v>
      </c>
      <c r="I1422" s="81">
        <f t="shared" si="1"/>
        <v>2</v>
      </c>
      <c r="J1422" s="81">
        <f t="shared" si="2"/>
        <v>0.3333333333</v>
      </c>
    </row>
    <row r="1423">
      <c r="A1423" s="82">
        <v>44708.0</v>
      </c>
      <c r="B1423" s="66">
        <v>2086.0</v>
      </c>
      <c r="C1423" s="66">
        <v>3.0</v>
      </c>
      <c r="D1423" s="66" t="s">
        <v>205</v>
      </c>
      <c r="E1423" s="66">
        <v>0.0</v>
      </c>
      <c r="F1423" s="66">
        <v>0.021</v>
      </c>
      <c r="G1423" s="66">
        <v>0.007</v>
      </c>
      <c r="H1423" s="66" t="s">
        <v>229</v>
      </c>
      <c r="I1423" s="81">
        <f t="shared" si="1"/>
        <v>2</v>
      </c>
      <c r="J1423" s="81">
        <f t="shared" si="2"/>
        <v>0.3333333333</v>
      </c>
    </row>
    <row r="1424">
      <c r="A1424" s="82">
        <v>44708.0</v>
      </c>
      <c r="B1424" s="66">
        <v>2086.0</v>
      </c>
      <c r="C1424" s="66">
        <v>3.0</v>
      </c>
      <c r="D1424" s="66" t="s">
        <v>204</v>
      </c>
      <c r="E1424" s="66">
        <v>0.0</v>
      </c>
      <c r="F1424" s="66">
        <v>1.1916</v>
      </c>
      <c r="G1424" s="66">
        <v>0.397</v>
      </c>
      <c r="H1424" s="66" t="s">
        <v>226</v>
      </c>
      <c r="I1424" s="81">
        <f t="shared" si="1"/>
        <v>2.001511335</v>
      </c>
      <c r="J1424" s="81">
        <f t="shared" si="2"/>
        <v>0.3331654918</v>
      </c>
    </row>
    <row r="1425">
      <c r="A1425" s="82">
        <v>44708.0</v>
      </c>
      <c r="B1425" s="66">
        <v>2087.0</v>
      </c>
      <c r="C1425" s="66">
        <v>1.0</v>
      </c>
      <c r="D1425" s="66" t="s">
        <v>205</v>
      </c>
      <c r="E1425" s="66">
        <v>0.0</v>
      </c>
      <c r="F1425" s="66">
        <v>0.0784</v>
      </c>
      <c r="G1425" s="66">
        <v>0.026</v>
      </c>
      <c r="H1425" s="66" t="s">
        <v>226</v>
      </c>
      <c r="I1425" s="81">
        <f t="shared" si="1"/>
        <v>2.015384615</v>
      </c>
      <c r="J1425" s="81">
        <f t="shared" si="2"/>
        <v>0.3316326531</v>
      </c>
    </row>
    <row r="1426">
      <c r="A1426" s="82">
        <v>44708.0</v>
      </c>
      <c r="B1426" s="66">
        <v>2087.0</v>
      </c>
      <c r="C1426" s="66">
        <v>1.0</v>
      </c>
      <c r="D1426" s="66" t="s">
        <v>204</v>
      </c>
      <c r="E1426" s="66">
        <v>0.0</v>
      </c>
      <c r="F1426" s="66">
        <v>0.047</v>
      </c>
      <c r="G1426" s="66">
        <v>0.0155</v>
      </c>
      <c r="H1426" s="66" t="s">
        <v>226</v>
      </c>
      <c r="I1426" s="81">
        <f t="shared" si="1"/>
        <v>2.032258065</v>
      </c>
      <c r="J1426" s="81">
        <f t="shared" si="2"/>
        <v>0.329787234</v>
      </c>
    </row>
    <row r="1427">
      <c r="A1427" s="82">
        <v>44708.0</v>
      </c>
      <c r="B1427" s="66">
        <v>2087.0</v>
      </c>
      <c r="C1427" s="66">
        <v>2.0</v>
      </c>
      <c r="D1427" s="66" t="s">
        <v>205</v>
      </c>
      <c r="E1427" s="66">
        <v>0.0</v>
      </c>
      <c r="F1427" s="66">
        <v>0.8885</v>
      </c>
      <c r="G1427" s="66">
        <v>0.292</v>
      </c>
      <c r="H1427" s="66" t="s">
        <v>226</v>
      </c>
      <c r="I1427" s="81">
        <f t="shared" si="1"/>
        <v>2.042808219</v>
      </c>
      <c r="J1427" s="81">
        <f t="shared" si="2"/>
        <v>0.3286437817</v>
      </c>
    </row>
    <row r="1428">
      <c r="A1428" s="82">
        <v>44708.0</v>
      </c>
      <c r="B1428" s="66">
        <v>2087.0</v>
      </c>
      <c r="C1428" s="66">
        <v>2.0</v>
      </c>
      <c r="D1428" s="66" t="s">
        <v>204</v>
      </c>
      <c r="E1428" s="66">
        <v>0.0</v>
      </c>
      <c r="F1428" s="66">
        <v>0.046</v>
      </c>
      <c r="G1428" s="66">
        <v>0.015</v>
      </c>
      <c r="H1428" s="66" t="s">
        <v>226</v>
      </c>
      <c r="I1428" s="81">
        <f t="shared" si="1"/>
        <v>2.066666667</v>
      </c>
      <c r="J1428" s="81">
        <f t="shared" si="2"/>
        <v>0.3260869565</v>
      </c>
    </row>
    <row r="1429">
      <c r="A1429" s="82">
        <v>44708.0</v>
      </c>
      <c r="B1429" s="66">
        <v>2088.0</v>
      </c>
      <c r="C1429" s="66">
        <v>1.0</v>
      </c>
      <c r="D1429" s="66" t="s">
        <v>205</v>
      </c>
      <c r="E1429" s="66">
        <v>0.0</v>
      </c>
      <c r="F1429" s="66">
        <v>0.077</v>
      </c>
      <c r="G1429" s="66">
        <v>0.025</v>
      </c>
      <c r="H1429" s="66" t="s">
        <v>226</v>
      </c>
      <c r="I1429" s="81">
        <f t="shared" si="1"/>
        <v>2.08</v>
      </c>
      <c r="J1429" s="81">
        <f t="shared" si="2"/>
        <v>0.3246753247</v>
      </c>
    </row>
    <row r="1430">
      <c r="A1430" s="82">
        <v>44708.0</v>
      </c>
      <c r="B1430" s="66">
        <v>2088.0</v>
      </c>
      <c r="C1430" s="66">
        <v>1.0</v>
      </c>
      <c r="D1430" s="66" t="s">
        <v>204</v>
      </c>
      <c r="E1430" s="66">
        <v>0.0</v>
      </c>
      <c r="F1430" s="66">
        <v>0.0565</v>
      </c>
      <c r="G1430" s="66">
        <v>0.0183</v>
      </c>
      <c r="H1430" s="66" t="s">
        <v>226</v>
      </c>
      <c r="I1430" s="81">
        <f t="shared" si="1"/>
        <v>2.087431694</v>
      </c>
      <c r="J1430" s="81">
        <f t="shared" si="2"/>
        <v>0.3238938053</v>
      </c>
    </row>
    <row r="1431">
      <c r="A1431" s="82">
        <v>44708.0</v>
      </c>
      <c r="B1431" s="66">
        <v>2088.0</v>
      </c>
      <c r="C1431" s="66">
        <v>1.0</v>
      </c>
      <c r="D1431" s="66" t="s">
        <v>204</v>
      </c>
      <c r="E1431" s="66">
        <v>1.0</v>
      </c>
      <c r="F1431" s="66">
        <v>0.034</v>
      </c>
      <c r="G1431" s="66">
        <v>0.011</v>
      </c>
      <c r="H1431" s="66" t="s">
        <v>229</v>
      </c>
      <c r="I1431" s="81">
        <f t="shared" si="1"/>
        <v>2.090909091</v>
      </c>
      <c r="J1431" s="81">
        <f t="shared" si="2"/>
        <v>0.3235294118</v>
      </c>
    </row>
    <row r="1432">
      <c r="A1432" s="82">
        <v>44708.0</v>
      </c>
      <c r="B1432" s="66">
        <v>2088.0</v>
      </c>
      <c r="C1432" s="66">
        <v>2.0</v>
      </c>
      <c r="D1432" s="66" t="s">
        <v>204</v>
      </c>
      <c r="E1432" s="66">
        <v>0.0</v>
      </c>
      <c r="F1432" s="66">
        <v>0.118</v>
      </c>
      <c r="G1432" s="66">
        <v>0.038</v>
      </c>
      <c r="H1432" s="66" t="s">
        <v>229</v>
      </c>
      <c r="I1432" s="81">
        <f t="shared" si="1"/>
        <v>2.105263158</v>
      </c>
      <c r="J1432" s="81">
        <f t="shared" si="2"/>
        <v>0.3220338983</v>
      </c>
    </row>
    <row r="1433">
      <c r="A1433" s="82">
        <v>44708.0</v>
      </c>
      <c r="B1433" s="66">
        <v>2088.0</v>
      </c>
      <c r="C1433" s="66">
        <v>2.0</v>
      </c>
      <c r="D1433" s="66" t="s">
        <v>204</v>
      </c>
      <c r="E1433" s="66">
        <v>1.0</v>
      </c>
      <c r="F1433" s="66">
        <v>0.4512</v>
      </c>
      <c r="G1433" s="66">
        <v>0.1451</v>
      </c>
      <c r="H1433" s="66" t="s">
        <v>226</v>
      </c>
      <c r="I1433" s="81">
        <f t="shared" si="1"/>
        <v>2.1095796</v>
      </c>
      <c r="J1433" s="81">
        <f t="shared" si="2"/>
        <v>0.3215868794</v>
      </c>
    </row>
    <row r="1434">
      <c r="A1434" s="82">
        <v>44708.0</v>
      </c>
      <c r="B1434" s="66">
        <v>2088.0</v>
      </c>
      <c r="C1434" s="66">
        <v>3.0</v>
      </c>
      <c r="D1434" s="66" t="s">
        <v>205</v>
      </c>
      <c r="E1434" s="66">
        <v>0.0</v>
      </c>
      <c r="F1434" s="66">
        <v>0.1001</v>
      </c>
      <c r="G1434" s="66">
        <v>0.032</v>
      </c>
      <c r="H1434" s="66" t="s">
        <v>226</v>
      </c>
      <c r="I1434" s="81">
        <f t="shared" si="1"/>
        <v>2.128125</v>
      </c>
      <c r="J1434" s="81">
        <f t="shared" si="2"/>
        <v>0.3196803197</v>
      </c>
    </row>
    <row r="1435">
      <c r="A1435" s="82">
        <v>44708.0</v>
      </c>
      <c r="B1435" s="66">
        <v>2088.0</v>
      </c>
      <c r="C1435" s="66">
        <v>3.0</v>
      </c>
      <c r="D1435" s="66" t="s">
        <v>204</v>
      </c>
      <c r="E1435" s="66">
        <v>0.0</v>
      </c>
      <c r="F1435" s="66">
        <v>0.097</v>
      </c>
      <c r="G1435" s="66">
        <v>0.031</v>
      </c>
      <c r="H1435" s="66" t="s">
        <v>226</v>
      </c>
      <c r="I1435" s="81">
        <f t="shared" si="1"/>
        <v>2.129032258</v>
      </c>
      <c r="J1435" s="81">
        <f t="shared" si="2"/>
        <v>0.3195876289</v>
      </c>
    </row>
    <row r="1436">
      <c r="A1436" s="82">
        <v>44708.0</v>
      </c>
      <c r="B1436" s="66">
        <v>2088.0</v>
      </c>
      <c r="C1436" s="66">
        <v>3.0</v>
      </c>
      <c r="D1436" s="66" t="s">
        <v>204</v>
      </c>
      <c r="E1436" s="66">
        <v>1.0</v>
      </c>
      <c r="F1436" s="66">
        <v>0.1676</v>
      </c>
      <c r="G1436" s="84">
        <v>0.053</v>
      </c>
      <c r="I1436" s="81">
        <f t="shared" si="1"/>
        <v>2.162264151</v>
      </c>
      <c r="J1436" s="81">
        <f t="shared" si="2"/>
        <v>0.3162291169</v>
      </c>
    </row>
    <row r="1437">
      <c r="A1437" s="82">
        <v>44708.0</v>
      </c>
      <c r="B1437" s="66">
        <v>2089.0</v>
      </c>
      <c r="C1437" s="66">
        <v>1.0</v>
      </c>
      <c r="D1437" s="66" t="s">
        <v>205</v>
      </c>
      <c r="E1437" s="66">
        <v>0.0</v>
      </c>
      <c r="F1437" s="66">
        <v>0.038</v>
      </c>
      <c r="G1437" s="66">
        <v>0.012</v>
      </c>
      <c r="H1437" s="66" t="s">
        <v>229</v>
      </c>
      <c r="I1437" s="81">
        <f t="shared" si="1"/>
        <v>2.166666667</v>
      </c>
      <c r="J1437" s="81">
        <f t="shared" si="2"/>
        <v>0.3157894737</v>
      </c>
    </row>
    <row r="1438">
      <c r="A1438" s="82">
        <v>44708.0</v>
      </c>
      <c r="B1438" s="66">
        <v>2089.0</v>
      </c>
      <c r="C1438" s="66">
        <v>1.0</v>
      </c>
      <c r="D1438" s="66" t="s">
        <v>205</v>
      </c>
      <c r="E1438" s="66">
        <v>0.0</v>
      </c>
      <c r="F1438" s="66">
        <v>0.07</v>
      </c>
      <c r="G1438" s="66">
        <v>0.022</v>
      </c>
      <c r="H1438" s="66" t="s">
        <v>229</v>
      </c>
      <c r="I1438" s="81">
        <f t="shared" si="1"/>
        <v>2.181818182</v>
      </c>
      <c r="J1438" s="81">
        <f t="shared" si="2"/>
        <v>0.3142857143</v>
      </c>
    </row>
    <row r="1439">
      <c r="A1439" s="82">
        <v>44708.0</v>
      </c>
      <c r="B1439" s="66">
        <v>2089.0</v>
      </c>
      <c r="C1439" s="66">
        <v>1.0</v>
      </c>
      <c r="D1439" s="66" t="s">
        <v>205</v>
      </c>
      <c r="E1439" s="66">
        <v>1.0</v>
      </c>
      <c r="F1439" s="66">
        <v>0.1625</v>
      </c>
      <c r="G1439" s="66">
        <v>0.051</v>
      </c>
      <c r="H1439" s="66" t="s">
        <v>226</v>
      </c>
      <c r="I1439" s="81">
        <f t="shared" si="1"/>
        <v>2.18627451</v>
      </c>
      <c r="J1439" s="81">
        <f t="shared" si="2"/>
        <v>0.3138461538</v>
      </c>
    </row>
    <row r="1440">
      <c r="A1440" s="82">
        <v>44708.0</v>
      </c>
      <c r="B1440" s="66">
        <v>2089.0</v>
      </c>
      <c r="C1440" s="66">
        <v>1.0</v>
      </c>
      <c r="D1440" s="66" t="s">
        <v>204</v>
      </c>
      <c r="E1440" s="66">
        <v>0.0</v>
      </c>
      <c r="F1440" s="66">
        <v>0.0426</v>
      </c>
      <c r="G1440" s="66">
        <v>0.0133</v>
      </c>
      <c r="H1440" s="66" t="s">
        <v>226</v>
      </c>
      <c r="I1440" s="81">
        <f t="shared" si="1"/>
        <v>2.203007519</v>
      </c>
      <c r="J1440" s="81">
        <f t="shared" si="2"/>
        <v>0.3122065728</v>
      </c>
    </row>
    <row r="1441">
      <c r="A1441" s="82">
        <v>44708.0</v>
      </c>
      <c r="B1441" s="66">
        <v>2089.0</v>
      </c>
      <c r="C1441" s="66">
        <v>1.0</v>
      </c>
      <c r="D1441" s="66" t="s">
        <v>204</v>
      </c>
      <c r="E1441" s="66">
        <v>1.0</v>
      </c>
      <c r="F1441" s="66">
        <v>0.0451</v>
      </c>
      <c r="G1441" s="66">
        <v>0.014</v>
      </c>
      <c r="H1441" s="66" t="s">
        <v>226</v>
      </c>
      <c r="I1441" s="81">
        <f t="shared" si="1"/>
        <v>2.221428571</v>
      </c>
      <c r="J1441" s="81">
        <f t="shared" si="2"/>
        <v>0.310421286</v>
      </c>
    </row>
    <row r="1442">
      <c r="A1442" s="82">
        <v>44708.0</v>
      </c>
      <c r="B1442" s="66">
        <v>2089.0</v>
      </c>
      <c r="C1442" s="66">
        <v>2.0</v>
      </c>
      <c r="D1442" s="66" t="s">
        <v>205</v>
      </c>
      <c r="E1442" s="66">
        <v>1.0</v>
      </c>
      <c r="F1442" s="66">
        <v>0.1228</v>
      </c>
      <c r="G1442" s="66">
        <v>0.038</v>
      </c>
      <c r="H1442" s="66" t="s">
        <v>226</v>
      </c>
      <c r="I1442" s="81">
        <f t="shared" si="1"/>
        <v>2.231578947</v>
      </c>
      <c r="J1442" s="81">
        <f t="shared" si="2"/>
        <v>0.3094462541</v>
      </c>
    </row>
    <row r="1443">
      <c r="A1443" s="82">
        <v>44708.0</v>
      </c>
      <c r="B1443" s="66">
        <v>2089.0</v>
      </c>
      <c r="C1443" s="66">
        <v>2.0</v>
      </c>
      <c r="D1443" s="66" t="s">
        <v>204</v>
      </c>
      <c r="E1443" s="66">
        <v>0.0</v>
      </c>
      <c r="F1443" s="66">
        <v>0.0291</v>
      </c>
      <c r="G1443" s="66">
        <v>0.009</v>
      </c>
      <c r="H1443" s="66" t="s">
        <v>226</v>
      </c>
      <c r="I1443" s="81">
        <f t="shared" si="1"/>
        <v>2.233333333</v>
      </c>
      <c r="J1443" s="81">
        <f t="shared" si="2"/>
        <v>0.3092783505</v>
      </c>
    </row>
    <row r="1444">
      <c r="A1444" s="82">
        <v>44708.0</v>
      </c>
      <c r="B1444" s="66">
        <v>2089.0</v>
      </c>
      <c r="C1444" s="66">
        <v>2.0</v>
      </c>
      <c r="D1444" s="66" t="s">
        <v>204</v>
      </c>
      <c r="E1444" s="66">
        <v>1.0</v>
      </c>
      <c r="F1444" s="66">
        <v>0.1659</v>
      </c>
      <c r="G1444" s="66">
        <v>0.051</v>
      </c>
      <c r="H1444" s="66" t="s">
        <v>226</v>
      </c>
      <c r="I1444" s="81">
        <f t="shared" si="1"/>
        <v>2.252941176</v>
      </c>
      <c r="J1444" s="81">
        <f t="shared" si="2"/>
        <v>0.3074141049</v>
      </c>
    </row>
    <row r="1445">
      <c r="A1445" s="82">
        <v>44708.0</v>
      </c>
      <c r="B1445" s="66">
        <v>2089.0</v>
      </c>
      <c r="C1445" s="66">
        <v>3.0</v>
      </c>
      <c r="D1445" s="66" t="s">
        <v>205</v>
      </c>
      <c r="E1445" s="66">
        <v>0.0</v>
      </c>
      <c r="F1445" s="66">
        <v>0.0457</v>
      </c>
      <c r="G1445" s="66">
        <v>0.014</v>
      </c>
      <c r="H1445" s="66" t="s">
        <v>226</v>
      </c>
      <c r="I1445" s="81">
        <f t="shared" si="1"/>
        <v>2.264285714</v>
      </c>
      <c r="J1445" s="81">
        <f t="shared" si="2"/>
        <v>0.306345733</v>
      </c>
    </row>
    <row r="1446">
      <c r="A1446" s="82">
        <v>44708.0</v>
      </c>
      <c r="B1446" s="66">
        <v>2089.0</v>
      </c>
      <c r="C1446" s="66">
        <v>3.0</v>
      </c>
      <c r="D1446" s="66" t="s">
        <v>205</v>
      </c>
      <c r="E1446" s="66">
        <v>1.0</v>
      </c>
      <c r="F1446" s="66">
        <v>0.0622</v>
      </c>
      <c r="G1446" s="66">
        <v>0.019</v>
      </c>
      <c r="H1446" s="66" t="s">
        <v>226</v>
      </c>
      <c r="I1446" s="81">
        <f t="shared" si="1"/>
        <v>2.273684211</v>
      </c>
      <c r="J1446" s="81">
        <f t="shared" si="2"/>
        <v>0.3054662379</v>
      </c>
    </row>
    <row r="1447">
      <c r="A1447" s="82">
        <v>44708.0</v>
      </c>
      <c r="B1447" s="66">
        <v>2089.0</v>
      </c>
      <c r="C1447" s="66">
        <v>3.0</v>
      </c>
      <c r="D1447" s="66" t="s">
        <v>204</v>
      </c>
      <c r="E1447" s="66">
        <v>0.0</v>
      </c>
      <c r="F1447" s="66">
        <v>0.4425</v>
      </c>
      <c r="G1447" s="66">
        <v>0.133</v>
      </c>
      <c r="H1447" s="66" t="s">
        <v>226</v>
      </c>
      <c r="I1447" s="81">
        <f t="shared" si="1"/>
        <v>2.327067669</v>
      </c>
      <c r="J1447" s="81">
        <f t="shared" si="2"/>
        <v>0.3005649718</v>
      </c>
    </row>
    <row r="1448">
      <c r="A1448" s="82">
        <v>44708.0</v>
      </c>
      <c r="B1448" s="66">
        <v>2089.0</v>
      </c>
      <c r="C1448" s="66">
        <v>3.0</v>
      </c>
      <c r="D1448" s="66" t="s">
        <v>204</v>
      </c>
      <c r="E1448" s="66">
        <v>1.0</v>
      </c>
      <c r="F1448" s="66">
        <v>0.869</v>
      </c>
      <c r="G1448" s="66">
        <v>0.26</v>
      </c>
      <c r="H1448" s="66" t="s">
        <v>229</v>
      </c>
      <c r="I1448" s="81">
        <f t="shared" si="1"/>
        <v>2.342307692</v>
      </c>
      <c r="J1448" s="81">
        <f t="shared" si="2"/>
        <v>0.2991944764</v>
      </c>
    </row>
    <row r="1449">
      <c r="A1449" s="82">
        <v>44708.0</v>
      </c>
      <c r="B1449" s="66">
        <v>2090.0</v>
      </c>
      <c r="C1449" s="66">
        <v>1.0</v>
      </c>
      <c r="D1449" s="66" t="s">
        <v>205</v>
      </c>
      <c r="E1449" s="66">
        <v>0.0</v>
      </c>
      <c r="F1449" s="66">
        <v>0.4871</v>
      </c>
      <c r="G1449" s="66">
        <v>0.145</v>
      </c>
      <c r="H1449" s="66" t="s">
        <v>226</v>
      </c>
      <c r="I1449" s="81">
        <f t="shared" si="1"/>
        <v>2.359310345</v>
      </c>
      <c r="J1449" s="81">
        <f t="shared" si="2"/>
        <v>0.2976801478</v>
      </c>
    </row>
    <row r="1450">
      <c r="A1450" s="82">
        <v>44708.0</v>
      </c>
      <c r="B1450" s="66">
        <v>2090.0</v>
      </c>
      <c r="C1450" s="66">
        <v>1.0</v>
      </c>
      <c r="D1450" s="66" t="s">
        <v>204</v>
      </c>
      <c r="E1450" s="66">
        <v>0.0</v>
      </c>
      <c r="F1450" s="66">
        <v>0.7933</v>
      </c>
      <c r="G1450" s="66">
        <v>0.235</v>
      </c>
      <c r="H1450" s="66" t="s">
        <v>226</v>
      </c>
      <c r="I1450" s="81">
        <f t="shared" si="1"/>
        <v>2.375744681</v>
      </c>
      <c r="J1450" s="81">
        <f t="shared" si="2"/>
        <v>0.2962309341</v>
      </c>
    </row>
    <row r="1451">
      <c r="A1451" s="82">
        <v>44708.0</v>
      </c>
      <c r="B1451" s="66">
        <v>2090.0</v>
      </c>
      <c r="C1451" s="66">
        <v>2.0</v>
      </c>
      <c r="D1451" s="66" t="s">
        <v>205</v>
      </c>
      <c r="E1451" s="66">
        <v>0.0</v>
      </c>
      <c r="F1451" s="66">
        <v>0.115</v>
      </c>
      <c r="G1451" s="66">
        <v>0.034</v>
      </c>
      <c r="H1451" s="66" t="s">
        <v>229</v>
      </c>
      <c r="I1451" s="81">
        <f t="shared" si="1"/>
        <v>2.382352941</v>
      </c>
      <c r="J1451" s="81">
        <f t="shared" si="2"/>
        <v>0.2956521739</v>
      </c>
    </row>
    <row r="1452">
      <c r="A1452" s="82">
        <v>44708.0</v>
      </c>
      <c r="B1452" s="66">
        <v>2090.0</v>
      </c>
      <c r="C1452" s="66">
        <v>2.0</v>
      </c>
      <c r="D1452" s="66" t="s">
        <v>204</v>
      </c>
      <c r="E1452" s="66">
        <v>0.0</v>
      </c>
      <c r="F1452" s="66">
        <v>0.0306</v>
      </c>
      <c r="G1452" s="66">
        <v>0.009</v>
      </c>
      <c r="H1452" s="66" t="s">
        <v>226</v>
      </c>
      <c r="I1452" s="81">
        <f t="shared" si="1"/>
        <v>2.4</v>
      </c>
      <c r="J1452" s="81">
        <f t="shared" si="2"/>
        <v>0.2941176471</v>
      </c>
    </row>
    <row r="1453">
      <c r="A1453" s="82">
        <v>44708.0</v>
      </c>
      <c r="B1453" s="66">
        <v>2090.0</v>
      </c>
      <c r="C1453" s="66">
        <v>3.0</v>
      </c>
      <c r="D1453" s="66" t="s">
        <v>205</v>
      </c>
      <c r="E1453" s="66">
        <v>0.0</v>
      </c>
      <c r="F1453" s="66">
        <v>0.5121</v>
      </c>
      <c r="G1453" s="66">
        <v>0.15</v>
      </c>
      <c r="H1453" s="66" t="s">
        <v>226</v>
      </c>
      <c r="I1453" s="81">
        <f t="shared" si="1"/>
        <v>2.414</v>
      </c>
      <c r="J1453" s="81">
        <f t="shared" si="2"/>
        <v>0.2929115407</v>
      </c>
    </row>
    <row r="1454">
      <c r="A1454" s="82">
        <v>44708.0</v>
      </c>
      <c r="B1454" s="66">
        <v>2090.0</v>
      </c>
      <c r="C1454" s="66">
        <v>3.0</v>
      </c>
      <c r="D1454" s="66" t="s">
        <v>204</v>
      </c>
      <c r="E1454" s="66">
        <v>0.0</v>
      </c>
      <c r="F1454" s="66">
        <v>0.0717</v>
      </c>
      <c r="G1454" s="66">
        <v>0.021</v>
      </c>
      <c r="H1454" s="66" t="s">
        <v>226</v>
      </c>
      <c r="I1454" s="81">
        <f t="shared" si="1"/>
        <v>2.414285714</v>
      </c>
      <c r="J1454" s="81">
        <f t="shared" si="2"/>
        <v>0.2928870293</v>
      </c>
    </row>
    <row r="1455">
      <c r="A1455" s="82">
        <v>44708.0</v>
      </c>
      <c r="B1455" s="66">
        <v>2091.0</v>
      </c>
      <c r="C1455" s="66">
        <v>1.0</v>
      </c>
      <c r="D1455" s="66" t="s">
        <v>205</v>
      </c>
      <c r="E1455" s="66">
        <v>0.0</v>
      </c>
      <c r="F1455" s="66">
        <v>0.4551</v>
      </c>
      <c r="G1455" s="66">
        <v>0.132</v>
      </c>
      <c r="H1455" s="66" t="s">
        <v>226</v>
      </c>
      <c r="I1455" s="81">
        <f t="shared" si="1"/>
        <v>2.447727273</v>
      </c>
      <c r="J1455" s="81">
        <f t="shared" si="2"/>
        <v>0.2900461437</v>
      </c>
    </row>
    <row r="1456">
      <c r="A1456" s="82">
        <v>44708.0</v>
      </c>
      <c r="B1456" s="66">
        <v>2091.0</v>
      </c>
      <c r="C1456" s="66">
        <v>1.0</v>
      </c>
      <c r="D1456" s="66" t="s">
        <v>205</v>
      </c>
      <c r="E1456" s="66">
        <v>1.0</v>
      </c>
      <c r="F1456" s="66">
        <v>0.0968</v>
      </c>
      <c r="G1456" s="66">
        <v>0.028</v>
      </c>
      <c r="H1456" s="66" t="s">
        <v>226</v>
      </c>
      <c r="I1456" s="81">
        <f t="shared" si="1"/>
        <v>2.457142857</v>
      </c>
      <c r="J1456" s="81">
        <f t="shared" si="2"/>
        <v>0.2892561983</v>
      </c>
    </row>
    <row r="1457">
      <c r="A1457" s="82">
        <v>44708.0</v>
      </c>
      <c r="B1457" s="66">
        <v>2091.0</v>
      </c>
      <c r="C1457" s="66">
        <v>1.0</v>
      </c>
      <c r="D1457" s="66" t="s">
        <v>204</v>
      </c>
      <c r="E1457" s="66">
        <v>0.0</v>
      </c>
      <c r="F1457" s="66">
        <v>0.8268</v>
      </c>
      <c r="G1457" s="66">
        <v>0.236</v>
      </c>
      <c r="H1457" s="66" t="s">
        <v>226</v>
      </c>
      <c r="I1457" s="81">
        <f t="shared" si="1"/>
        <v>2.503389831</v>
      </c>
      <c r="J1457" s="81">
        <f t="shared" si="2"/>
        <v>0.2854378326</v>
      </c>
    </row>
    <row r="1458">
      <c r="A1458" s="82">
        <v>44708.0</v>
      </c>
      <c r="B1458" s="66">
        <v>2091.0</v>
      </c>
      <c r="C1458" s="66">
        <v>1.0</v>
      </c>
      <c r="D1458" s="66" t="s">
        <v>204</v>
      </c>
      <c r="E1458" s="66">
        <v>1.0</v>
      </c>
      <c r="F1458" s="66">
        <v>0.827</v>
      </c>
      <c r="G1458" s="66">
        <v>0.235</v>
      </c>
      <c r="H1458" s="66" t="s">
        <v>229</v>
      </c>
      <c r="I1458" s="81">
        <f t="shared" si="1"/>
        <v>2.519148936</v>
      </c>
      <c r="J1458" s="81">
        <f t="shared" si="2"/>
        <v>0.2841596131</v>
      </c>
    </row>
    <row r="1459">
      <c r="A1459" s="82">
        <v>44708.0</v>
      </c>
      <c r="B1459" s="66">
        <v>2091.0</v>
      </c>
      <c r="C1459" s="66">
        <v>2.0</v>
      </c>
      <c r="D1459" s="66" t="s">
        <v>205</v>
      </c>
      <c r="E1459" s="66">
        <v>0.0</v>
      </c>
      <c r="F1459" s="66">
        <v>0.2022</v>
      </c>
      <c r="G1459" s="66">
        <v>0.057</v>
      </c>
      <c r="H1459" s="66" t="s">
        <v>226</v>
      </c>
      <c r="I1459" s="81">
        <f t="shared" si="1"/>
        <v>2.547368421</v>
      </c>
      <c r="J1459" s="81">
        <f t="shared" si="2"/>
        <v>0.2818991098</v>
      </c>
    </row>
    <row r="1460">
      <c r="A1460" s="82">
        <v>44708.0</v>
      </c>
      <c r="B1460" s="66">
        <v>2091.0</v>
      </c>
      <c r="C1460" s="66">
        <v>2.0</v>
      </c>
      <c r="D1460" s="66" t="s">
        <v>205</v>
      </c>
      <c r="E1460" s="66">
        <v>1.0</v>
      </c>
      <c r="F1460" s="66">
        <v>1.3643</v>
      </c>
      <c r="G1460" s="66">
        <v>0.381</v>
      </c>
      <c r="H1460" s="66" t="s">
        <v>226</v>
      </c>
      <c r="I1460" s="81">
        <f t="shared" si="1"/>
        <v>2.580839895</v>
      </c>
      <c r="J1460" s="81">
        <f t="shared" si="2"/>
        <v>0.2792640915</v>
      </c>
    </row>
    <row r="1461">
      <c r="A1461" s="82">
        <v>44708.0</v>
      </c>
      <c r="B1461" s="66">
        <v>2091.0</v>
      </c>
      <c r="C1461" s="66">
        <v>2.0</v>
      </c>
      <c r="D1461" s="66" t="s">
        <v>204</v>
      </c>
      <c r="E1461" s="66">
        <v>0.0</v>
      </c>
      <c r="F1461" s="66">
        <v>0.0681</v>
      </c>
      <c r="G1461" s="66">
        <v>0.019</v>
      </c>
      <c r="H1461" s="66" t="s">
        <v>226</v>
      </c>
      <c r="I1461" s="81">
        <f t="shared" si="1"/>
        <v>2.584210526</v>
      </c>
      <c r="J1461" s="81">
        <f t="shared" si="2"/>
        <v>0.2790014684</v>
      </c>
    </row>
    <row r="1462">
      <c r="A1462" s="82">
        <v>44708.0</v>
      </c>
      <c r="B1462" s="66">
        <v>2091.0</v>
      </c>
      <c r="C1462" s="66">
        <v>2.0</v>
      </c>
      <c r="D1462" s="66" t="s">
        <v>204</v>
      </c>
      <c r="E1462" s="66">
        <v>1.0</v>
      </c>
      <c r="F1462" s="66">
        <v>0.0503</v>
      </c>
      <c r="G1462" s="66">
        <v>0.014</v>
      </c>
      <c r="H1462" s="66" t="s">
        <v>226</v>
      </c>
      <c r="I1462" s="81">
        <f t="shared" si="1"/>
        <v>2.592857143</v>
      </c>
      <c r="J1462" s="81">
        <f t="shared" si="2"/>
        <v>0.2783300199</v>
      </c>
    </row>
    <row r="1463">
      <c r="A1463" s="82">
        <v>44708.0</v>
      </c>
      <c r="B1463" s="66">
        <v>2091.0</v>
      </c>
      <c r="C1463" s="66">
        <v>3.0</v>
      </c>
      <c r="D1463" s="66" t="s">
        <v>205</v>
      </c>
      <c r="E1463" s="66">
        <v>0.0</v>
      </c>
      <c r="F1463" s="66">
        <v>0.3183</v>
      </c>
      <c r="G1463" s="66">
        <v>0.088</v>
      </c>
      <c r="H1463" s="66" t="s">
        <v>226</v>
      </c>
      <c r="I1463" s="81">
        <f t="shared" si="1"/>
        <v>2.617045455</v>
      </c>
      <c r="J1463" s="81">
        <f t="shared" si="2"/>
        <v>0.2764687402</v>
      </c>
    </row>
    <row r="1464">
      <c r="A1464" s="82">
        <v>44708.0</v>
      </c>
      <c r="B1464" s="66">
        <v>2091.0</v>
      </c>
      <c r="C1464" s="66">
        <v>3.0</v>
      </c>
      <c r="D1464" s="66" t="s">
        <v>205</v>
      </c>
      <c r="E1464" s="66">
        <v>1.0</v>
      </c>
      <c r="F1464" s="66">
        <v>1.5595</v>
      </c>
      <c r="G1464" s="66">
        <v>0.424</v>
      </c>
      <c r="H1464" s="66" t="s">
        <v>226</v>
      </c>
      <c r="I1464" s="81">
        <f t="shared" si="1"/>
        <v>2.678066038</v>
      </c>
      <c r="J1464" s="81">
        <f t="shared" si="2"/>
        <v>0.2718820135</v>
      </c>
    </row>
    <row r="1465">
      <c r="A1465" s="82">
        <v>44708.0</v>
      </c>
      <c r="B1465" s="66">
        <v>2091.0</v>
      </c>
      <c r="C1465" s="66">
        <v>3.0</v>
      </c>
      <c r="D1465" s="66" t="s">
        <v>204</v>
      </c>
      <c r="E1465" s="66">
        <v>0.0</v>
      </c>
      <c r="F1465" s="66">
        <v>0.192</v>
      </c>
      <c r="G1465" s="66">
        <v>0.052</v>
      </c>
      <c r="H1465" s="66" t="s">
        <v>226</v>
      </c>
      <c r="I1465" s="81">
        <f t="shared" si="1"/>
        <v>2.692307692</v>
      </c>
      <c r="J1465" s="81">
        <f t="shared" si="2"/>
        <v>0.2708333333</v>
      </c>
    </row>
    <row r="1466">
      <c r="A1466" s="82">
        <v>44708.0</v>
      </c>
      <c r="B1466" s="66">
        <v>2091.0</v>
      </c>
      <c r="C1466" s="66">
        <v>3.0</v>
      </c>
      <c r="D1466" s="66" t="s">
        <v>204</v>
      </c>
      <c r="E1466" s="66">
        <v>1.0</v>
      </c>
      <c r="F1466" s="66">
        <v>0.7536</v>
      </c>
      <c r="G1466" s="66">
        <v>0.203</v>
      </c>
      <c r="H1466" s="66" t="s">
        <v>226</v>
      </c>
      <c r="I1466" s="81">
        <f t="shared" si="1"/>
        <v>2.712315271</v>
      </c>
      <c r="J1466" s="81">
        <f t="shared" si="2"/>
        <v>0.269373673</v>
      </c>
    </row>
    <row r="1467">
      <c r="A1467" s="82">
        <v>44708.0</v>
      </c>
      <c r="B1467" s="66">
        <v>2092.0</v>
      </c>
      <c r="C1467" s="66">
        <v>1.0</v>
      </c>
      <c r="D1467" s="66" t="s">
        <v>205</v>
      </c>
      <c r="E1467" s="66">
        <v>1.0</v>
      </c>
      <c r="F1467" s="66">
        <v>0.0268</v>
      </c>
      <c r="G1467" s="66">
        <v>0.007</v>
      </c>
      <c r="H1467" s="66" t="s">
        <v>226</v>
      </c>
      <c r="I1467" s="81">
        <f t="shared" si="1"/>
        <v>2.828571429</v>
      </c>
      <c r="J1467" s="81">
        <f t="shared" si="2"/>
        <v>0.2611940299</v>
      </c>
    </row>
    <row r="1468">
      <c r="A1468" s="82">
        <v>44708.0</v>
      </c>
      <c r="B1468" s="66">
        <v>2092.0</v>
      </c>
      <c r="C1468" s="66">
        <v>1.0</v>
      </c>
      <c r="D1468" s="66" t="s">
        <v>204</v>
      </c>
      <c r="E1468" s="66">
        <v>1.0</v>
      </c>
      <c r="F1468" s="66">
        <v>0.0234</v>
      </c>
      <c r="G1468" s="66">
        <v>0.006</v>
      </c>
      <c r="H1468" s="66" t="s">
        <v>226</v>
      </c>
      <c r="I1468" s="81">
        <f t="shared" si="1"/>
        <v>2.9</v>
      </c>
      <c r="J1468" s="81">
        <f t="shared" si="2"/>
        <v>0.2564102564</v>
      </c>
    </row>
    <row r="1469">
      <c r="A1469" s="82">
        <v>44708.0</v>
      </c>
      <c r="B1469" s="66">
        <v>2092.0</v>
      </c>
      <c r="C1469" s="66">
        <v>2.0</v>
      </c>
      <c r="D1469" s="66" t="s">
        <v>205</v>
      </c>
      <c r="E1469" s="66">
        <v>0.0</v>
      </c>
      <c r="F1469" s="66">
        <v>0.2194</v>
      </c>
      <c r="G1469" s="66">
        <v>0.0535</v>
      </c>
      <c r="H1469" s="66" t="s">
        <v>226</v>
      </c>
      <c r="I1469" s="81">
        <f t="shared" si="1"/>
        <v>3.100934579</v>
      </c>
      <c r="J1469" s="81">
        <f t="shared" si="2"/>
        <v>0.2438468551</v>
      </c>
    </row>
    <row r="1470">
      <c r="A1470" s="82">
        <v>44708.0</v>
      </c>
      <c r="B1470" s="66">
        <v>2092.0</v>
      </c>
      <c r="C1470" s="66">
        <v>2.0</v>
      </c>
      <c r="D1470" s="66" t="s">
        <v>205</v>
      </c>
      <c r="E1470" s="66">
        <v>1.0</v>
      </c>
      <c r="F1470" s="66">
        <v>0.6005</v>
      </c>
      <c r="G1470" s="66">
        <v>0.144</v>
      </c>
      <c r="I1470" s="81">
        <f t="shared" si="1"/>
        <v>3.170138889</v>
      </c>
      <c r="J1470" s="81">
        <f t="shared" si="2"/>
        <v>0.2398001665</v>
      </c>
    </row>
    <row r="1471">
      <c r="A1471" s="82">
        <v>44708.0</v>
      </c>
      <c r="B1471" s="66">
        <v>2092.0</v>
      </c>
      <c r="C1471" s="66">
        <v>2.0</v>
      </c>
      <c r="D1471" s="66" t="s">
        <v>204</v>
      </c>
      <c r="E1471" s="66">
        <v>0.0</v>
      </c>
      <c r="F1471" s="66">
        <v>0.0588</v>
      </c>
      <c r="G1471" s="66">
        <v>0.014</v>
      </c>
      <c r="H1471" s="66" t="s">
        <v>226</v>
      </c>
      <c r="I1471" s="81">
        <f t="shared" si="1"/>
        <v>3.2</v>
      </c>
      <c r="J1471" s="81">
        <f t="shared" si="2"/>
        <v>0.2380952381</v>
      </c>
    </row>
    <row r="1472">
      <c r="A1472" s="82">
        <v>44708.0</v>
      </c>
      <c r="B1472" s="66">
        <v>2092.0</v>
      </c>
      <c r="C1472" s="66">
        <v>2.0</v>
      </c>
      <c r="D1472" s="66" t="s">
        <v>204</v>
      </c>
      <c r="E1472" s="66">
        <v>1.0</v>
      </c>
      <c r="F1472" s="66">
        <v>0.3409</v>
      </c>
      <c r="G1472" s="66">
        <v>0.0777</v>
      </c>
      <c r="I1472" s="81">
        <f t="shared" si="1"/>
        <v>3.387387387</v>
      </c>
      <c r="J1472" s="81">
        <f t="shared" si="2"/>
        <v>0.227926078</v>
      </c>
    </row>
    <row r="1473">
      <c r="A1473" s="82">
        <v>44708.0</v>
      </c>
      <c r="B1473" s="66">
        <v>2092.0</v>
      </c>
      <c r="C1473" s="66">
        <v>3.0</v>
      </c>
      <c r="D1473" s="66" t="s">
        <v>205</v>
      </c>
      <c r="E1473" s="66">
        <v>0.0</v>
      </c>
      <c r="F1473" s="66">
        <v>0.0878</v>
      </c>
      <c r="G1473" s="84">
        <v>0.02</v>
      </c>
      <c r="I1473" s="81">
        <f t="shared" si="1"/>
        <v>3.39</v>
      </c>
      <c r="J1473" s="81">
        <f t="shared" si="2"/>
        <v>0.2277904328</v>
      </c>
    </row>
    <row r="1474">
      <c r="A1474" s="82">
        <v>44708.0</v>
      </c>
      <c r="B1474" s="66">
        <v>2092.0</v>
      </c>
      <c r="C1474" s="66">
        <v>3.0</v>
      </c>
      <c r="D1474" s="66" t="s">
        <v>205</v>
      </c>
      <c r="E1474" s="66">
        <v>1.0</v>
      </c>
      <c r="F1474" s="66">
        <v>0.4056</v>
      </c>
      <c r="G1474" s="66">
        <v>0.083</v>
      </c>
      <c r="I1474" s="81">
        <f t="shared" si="1"/>
        <v>3.886746988</v>
      </c>
      <c r="J1474" s="81">
        <f t="shared" si="2"/>
        <v>0.2046351085</v>
      </c>
    </row>
    <row r="1475">
      <c r="A1475" s="82">
        <v>44708.0</v>
      </c>
      <c r="B1475" s="66">
        <v>2092.0</v>
      </c>
      <c r="C1475" s="66">
        <v>3.0</v>
      </c>
      <c r="D1475" s="66" t="s">
        <v>204</v>
      </c>
      <c r="E1475" s="66">
        <v>0.0</v>
      </c>
      <c r="F1475" s="66">
        <v>2.9333</v>
      </c>
      <c r="G1475" s="66">
        <v>0.488</v>
      </c>
      <c r="I1475" s="81">
        <f t="shared" si="1"/>
        <v>5.010860656</v>
      </c>
      <c r="J1475" s="81">
        <f t="shared" si="2"/>
        <v>0.1663655269</v>
      </c>
    </row>
    <row r="1476">
      <c r="A1476" s="82">
        <v>44708.0</v>
      </c>
      <c r="B1476" s="66">
        <v>2092.0</v>
      </c>
      <c r="C1476" s="66">
        <v>3.0</v>
      </c>
      <c r="D1476" s="66" t="s">
        <v>204</v>
      </c>
      <c r="E1476" s="66">
        <v>1.0</v>
      </c>
      <c r="F1476" s="66">
        <v>0.2943</v>
      </c>
      <c r="G1476" s="66">
        <v>0.0489</v>
      </c>
      <c r="I1476" s="81">
        <f t="shared" si="1"/>
        <v>5.018404908</v>
      </c>
      <c r="J1476" s="81">
        <f t="shared" si="2"/>
        <v>0.1661569827</v>
      </c>
    </row>
    <row r="1477">
      <c r="A1477" s="82">
        <v>44708.0</v>
      </c>
      <c r="B1477" s="66">
        <v>2093.0</v>
      </c>
      <c r="C1477" s="66">
        <v>1.0</v>
      </c>
      <c r="D1477" s="66" t="s">
        <v>205</v>
      </c>
      <c r="E1477" s="66">
        <v>1.0</v>
      </c>
      <c r="F1477" s="66">
        <v>1.0377</v>
      </c>
      <c r="G1477" s="66">
        <v>0.154</v>
      </c>
      <c r="I1477" s="81">
        <f t="shared" si="1"/>
        <v>5.738311688</v>
      </c>
      <c r="J1477" s="81">
        <f t="shared" si="2"/>
        <v>0.1484051267</v>
      </c>
    </row>
    <row r="1478">
      <c r="A1478" s="82">
        <v>44708.0</v>
      </c>
      <c r="B1478" s="66">
        <v>2093.0</v>
      </c>
      <c r="C1478" s="66">
        <v>1.0</v>
      </c>
      <c r="D1478" s="66" t="s">
        <v>204</v>
      </c>
      <c r="E1478" s="66">
        <v>1.0</v>
      </c>
      <c r="F1478" s="66">
        <v>0.1051</v>
      </c>
      <c r="G1478" s="66">
        <v>0.0131</v>
      </c>
      <c r="H1478" s="66" t="s">
        <v>226</v>
      </c>
      <c r="I1478" s="81">
        <f t="shared" si="1"/>
        <v>7.022900763</v>
      </c>
      <c r="J1478" s="81">
        <f t="shared" si="2"/>
        <v>0.124643197</v>
      </c>
    </row>
    <row r="1479">
      <c r="A1479" s="82">
        <v>44708.0</v>
      </c>
      <c r="B1479" s="66">
        <v>2093.0</v>
      </c>
      <c r="C1479" s="66">
        <v>2.0</v>
      </c>
      <c r="D1479" s="66" t="s">
        <v>205</v>
      </c>
      <c r="E1479" s="66">
        <v>0.0</v>
      </c>
      <c r="F1479" s="66">
        <v>2.6386</v>
      </c>
      <c r="G1479" s="66">
        <v>0.224</v>
      </c>
      <c r="I1479" s="81">
        <f t="shared" si="1"/>
        <v>10.77946429</v>
      </c>
      <c r="J1479" s="81">
        <f t="shared" si="2"/>
        <v>0.08489350413</v>
      </c>
    </row>
    <row r="1480">
      <c r="A1480" s="82">
        <v>44708.0</v>
      </c>
      <c r="B1480" s="66">
        <v>2093.0</v>
      </c>
      <c r="C1480" s="66">
        <v>2.0</v>
      </c>
      <c r="D1480" s="66" t="s">
        <v>204</v>
      </c>
      <c r="E1480" s="66">
        <v>0.0</v>
      </c>
      <c r="F1480" s="66">
        <v>0.9931</v>
      </c>
      <c r="G1480" s="66">
        <v>0.0506</v>
      </c>
      <c r="H1480" s="66" t="s">
        <v>227</v>
      </c>
      <c r="I1480" s="81">
        <f t="shared" si="1"/>
        <v>18.62648221</v>
      </c>
      <c r="J1480" s="81">
        <f t="shared" si="2"/>
        <v>0.0509515658</v>
      </c>
    </row>
    <row r="1481">
      <c r="A1481" s="82">
        <v>44708.0</v>
      </c>
      <c r="B1481" s="66">
        <v>2093.0</v>
      </c>
      <c r="C1481" s="66">
        <v>2.0</v>
      </c>
      <c r="D1481" s="66" t="s">
        <v>204</v>
      </c>
      <c r="E1481" s="66">
        <v>1.0</v>
      </c>
      <c r="F1481" s="66">
        <v>0.2051</v>
      </c>
      <c r="G1481" s="66">
        <v>0.0093</v>
      </c>
      <c r="H1481" s="66" t="s">
        <v>227</v>
      </c>
      <c r="I1481" s="81">
        <f t="shared" si="1"/>
        <v>21.05376344</v>
      </c>
      <c r="J1481" s="81">
        <f t="shared" si="2"/>
        <v>0.04534373476</v>
      </c>
    </row>
    <row r="1482">
      <c r="A1482" s="82">
        <v>44708.0</v>
      </c>
      <c r="B1482" s="66">
        <v>2093.0</v>
      </c>
      <c r="C1482" s="66">
        <v>3.0</v>
      </c>
      <c r="D1482" s="66" t="s">
        <v>205</v>
      </c>
      <c r="E1482" s="66">
        <v>0.0</v>
      </c>
      <c r="F1482" s="66">
        <v>2.6175</v>
      </c>
      <c r="G1482" s="66">
        <v>0.1102</v>
      </c>
      <c r="H1482" s="66" t="s">
        <v>226</v>
      </c>
      <c r="I1482" s="81">
        <f t="shared" si="1"/>
        <v>22.7522686</v>
      </c>
      <c r="J1482" s="81">
        <f t="shared" si="2"/>
        <v>0.04210124164</v>
      </c>
    </row>
    <row r="1483">
      <c r="A1483" s="82">
        <v>44708.0</v>
      </c>
      <c r="B1483" s="66">
        <v>2093.0</v>
      </c>
      <c r="C1483" s="66">
        <v>3.0</v>
      </c>
      <c r="D1483" s="66" t="s">
        <v>205</v>
      </c>
      <c r="E1483" s="66">
        <v>1.0</v>
      </c>
      <c r="F1483" s="66">
        <v>0.6644</v>
      </c>
      <c r="G1483" s="66">
        <v>0.0257</v>
      </c>
      <c r="H1483" s="66" t="s">
        <v>226</v>
      </c>
      <c r="I1483" s="81">
        <f t="shared" si="1"/>
        <v>24.85214008</v>
      </c>
      <c r="J1483" s="81">
        <f t="shared" si="2"/>
        <v>0.03868151716</v>
      </c>
    </row>
    <row r="1484">
      <c r="A1484" s="82">
        <v>44708.0</v>
      </c>
      <c r="B1484" s="66">
        <v>2093.0</v>
      </c>
      <c r="C1484" s="66">
        <v>3.0</v>
      </c>
      <c r="D1484" s="66" t="s">
        <v>205</v>
      </c>
      <c r="E1484" s="66">
        <v>1.0</v>
      </c>
      <c r="F1484" s="66">
        <v>2.6455</v>
      </c>
      <c r="G1484" s="66">
        <v>0.095</v>
      </c>
      <c r="I1484" s="81">
        <f t="shared" si="1"/>
        <v>26.84736842</v>
      </c>
      <c r="J1484" s="81">
        <f t="shared" si="2"/>
        <v>0.03591003591</v>
      </c>
    </row>
    <row r="1485">
      <c r="A1485" s="82">
        <v>44708.0</v>
      </c>
      <c r="B1485" s="66">
        <v>2093.0</v>
      </c>
      <c r="C1485" s="66">
        <v>3.0</v>
      </c>
      <c r="D1485" s="66" t="s">
        <v>204</v>
      </c>
      <c r="E1485" s="66">
        <v>0.0</v>
      </c>
      <c r="F1485" s="66" t="s">
        <v>58</v>
      </c>
      <c r="G1485" s="66">
        <v>1.94</v>
      </c>
      <c r="H1485" s="66" t="s">
        <v>228</v>
      </c>
      <c r="I1485" s="81" t="str">
        <f t="shared" si="1"/>
        <v>#VALUE!</v>
      </c>
      <c r="J1485" s="81" t="str">
        <f t="shared" si="2"/>
        <v>#VALUE!</v>
      </c>
    </row>
    <row r="1486">
      <c r="A1486" s="82">
        <v>44708.0</v>
      </c>
      <c r="B1486" s="66">
        <v>2093.0</v>
      </c>
      <c r="C1486" s="66">
        <v>3.0</v>
      </c>
      <c r="D1486" s="66" t="s">
        <v>204</v>
      </c>
      <c r="E1486" s="66">
        <v>1.0</v>
      </c>
      <c r="F1486" s="66" t="s">
        <v>58</v>
      </c>
      <c r="G1486" s="66">
        <v>0.028</v>
      </c>
      <c r="H1486" s="66" t="s">
        <v>226</v>
      </c>
      <c r="I1486" s="81" t="str">
        <f t="shared" si="1"/>
        <v>#VALUE!</v>
      </c>
      <c r="J1486" s="81" t="str">
        <f t="shared" si="2"/>
        <v>#VALUE!</v>
      </c>
    </row>
    <row r="1487">
      <c r="A1487" s="82">
        <v>44769.0</v>
      </c>
      <c r="B1487" s="66">
        <v>2380.0</v>
      </c>
      <c r="C1487" s="66">
        <v>1.0</v>
      </c>
      <c r="D1487" s="66" t="s">
        <v>205</v>
      </c>
      <c r="E1487" s="66">
        <v>1.0</v>
      </c>
      <c r="F1487" s="66">
        <v>0.591</v>
      </c>
      <c r="G1487" s="66">
        <v>0.378</v>
      </c>
    </row>
    <row r="1488">
      <c r="A1488" s="82">
        <v>44770.0</v>
      </c>
      <c r="B1488" s="66">
        <v>2380.0</v>
      </c>
      <c r="C1488" s="66">
        <v>1.0</v>
      </c>
      <c r="D1488" s="66" t="s">
        <v>204</v>
      </c>
      <c r="E1488" s="66">
        <v>1.0</v>
      </c>
      <c r="F1488" s="66">
        <v>0.386</v>
      </c>
      <c r="G1488" s="66">
        <v>0.23</v>
      </c>
    </row>
    <row r="1489">
      <c r="A1489" s="82">
        <v>44816.0</v>
      </c>
      <c r="B1489" s="66">
        <v>2030.0</v>
      </c>
      <c r="C1489" s="66">
        <v>1.0</v>
      </c>
      <c r="D1489" s="66" t="s">
        <v>204</v>
      </c>
      <c r="E1489" s="66">
        <v>1.0</v>
      </c>
      <c r="F1489" s="66">
        <v>0.3415</v>
      </c>
      <c r="G1489" s="66">
        <v>0.1742</v>
      </c>
      <c r="I1489" s="81">
        <f t="shared" ref="I1489:I1491" si="3">(F1489-G1489)/G1489</f>
        <v>0.9603903559</v>
      </c>
      <c r="J1489" s="81">
        <f t="shared" ref="J1489:J1731" si="4">G1489/F1489</f>
        <v>0.510102489</v>
      </c>
    </row>
    <row r="1490">
      <c r="A1490" s="82">
        <v>44816.0</v>
      </c>
      <c r="B1490" s="66">
        <v>2030.0</v>
      </c>
      <c r="C1490" s="66">
        <v>3.0</v>
      </c>
      <c r="D1490" s="66" t="s">
        <v>204</v>
      </c>
      <c r="E1490" s="66">
        <v>1.0</v>
      </c>
      <c r="F1490" s="66">
        <v>0.094</v>
      </c>
      <c r="G1490" s="66">
        <v>0.0469</v>
      </c>
      <c r="I1490" s="81">
        <f t="shared" si="3"/>
        <v>1.004264392</v>
      </c>
      <c r="J1490" s="81">
        <f t="shared" si="4"/>
        <v>0.4989361702</v>
      </c>
    </row>
    <row r="1491">
      <c r="A1491" s="82">
        <v>44816.0</v>
      </c>
      <c r="B1491" s="66">
        <v>2030.0</v>
      </c>
      <c r="C1491" s="66">
        <v>3.0</v>
      </c>
      <c r="D1491" s="66" t="s">
        <v>205</v>
      </c>
      <c r="E1491" s="66">
        <v>1.0</v>
      </c>
      <c r="F1491" s="66">
        <v>0.5632</v>
      </c>
      <c r="G1491" s="66">
        <v>0.33</v>
      </c>
      <c r="I1491" s="81">
        <f t="shared" si="3"/>
        <v>0.7066666667</v>
      </c>
      <c r="J1491" s="81">
        <f t="shared" si="4"/>
        <v>0.5859375</v>
      </c>
    </row>
    <row r="1492">
      <c r="A1492" s="82">
        <v>44816.0</v>
      </c>
      <c r="B1492" s="66">
        <v>2010.0</v>
      </c>
      <c r="C1492" s="66">
        <v>3.0</v>
      </c>
      <c r="D1492" s="66" t="s">
        <v>205</v>
      </c>
      <c r="E1492" s="66">
        <v>0.0</v>
      </c>
      <c r="F1492" s="66">
        <v>0.7274</v>
      </c>
      <c r="G1492" s="66">
        <v>0.3826</v>
      </c>
      <c r="I1492" s="81">
        <f t="shared" ref="I1492:I1500" si="5">((F1492-G1492)/G1492)</f>
        <v>0.9012023001</v>
      </c>
      <c r="J1492" s="81">
        <f t="shared" si="4"/>
        <v>0.525982953</v>
      </c>
    </row>
    <row r="1493">
      <c r="A1493" s="82">
        <v>44816.0</v>
      </c>
      <c r="B1493" s="66">
        <v>2010.0</v>
      </c>
      <c r="C1493" s="66">
        <v>2.0</v>
      </c>
      <c r="D1493" s="66" t="s">
        <v>205</v>
      </c>
      <c r="E1493" s="66">
        <v>0.0</v>
      </c>
      <c r="F1493" s="66">
        <v>0.8191</v>
      </c>
      <c r="G1493" s="66">
        <v>0.4187</v>
      </c>
      <c r="I1493" s="81">
        <f t="shared" si="5"/>
        <v>0.9562932888</v>
      </c>
      <c r="J1493" s="81">
        <f t="shared" si="4"/>
        <v>0.5111707972</v>
      </c>
    </row>
    <row r="1494">
      <c r="A1494" s="82">
        <v>44816.0</v>
      </c>
      <c r="B1494" s="66">
        <v>2028.0</v>
      </c>
      <c r="C1494" s="66">
        <v>2.0</v>
      </c>
      <c r="D1494" s="66" t="s">
        <v>205</v>
      </c>
      <c r="E1494" s="66">
        <v>0.0</v>
      </c>
      <c r="F1494" s="66">
        <v>0.1719</v>
      </c>
      <c r="G1494" s="66">
        <v>0.105</v>
      </c>
      <c r="I1494" s="81">
        <f t="shared" si="5"/>
        <v>0.6371428571</v>
      </c>
      <c r="J1494" s="81">
        <f t="shared" si="4"/>
        <v>0.6108202443</v>
      </c>
    </row>
    <row r="1495">
      <c r="A1495" s="82">
        <v>44816.0</v>
      </c>
      <c r="B1495" s="66">
        <v>2028.0</v>
      </c>
      <c r="C1495" s="66">
        <v>1.0</v>
      </c>
      <c r="D1495" s="66" t="s">
        <v>204</v>
      </c>
      <c r="E1495" s="66">
        <v>1.0</v>
      </c>
      <c r="F1495" s="66">
        <v>0.5752</v>
      </c>
      <c r="G1495" s="66">
        <v>0.3514</v>
      </c>
      <c r="I1495" s="81">
        <f t="shared" si="5"/>
        <v>0.6368810472</v>
      </c>
      <c r="J1495" s="81">
        <f t="shared" si="4"/>
        <v>0.6109179416</v>
      </c>
    </row>
    <row r="1496">
      <c r="A1496" s="82">
        <v>44816.0</v>
      </c>
      <c r="B1496" s="66">
        <v>2028.0</v>
      </c>
      <c r="C1496" s="66">
        <v>1.0</v>
      </c>
      <c r="D1496" s="66" t="s">
        <v>204</v>
      </c>
      <c r="E1496" s="66">
        <v>0.0</v>
      </c>
      <c r="F1496" s="66">
        <v>1.1209</v>
      </c>
      <c r="G1496" s="66">
        <v>0.6708</v>
      </c>
      <c r="I1496" s="81">
        <f t="shared" si="5"/>
        <v>0.6709898629</v>
      </c>
      <c r="J1496" s="81">
        <f t="shared" si="4"/>
        <v>0.598447676</v>
      </c>
    </row>
    <row r="1497">
      <c r="A1497" s="82">
        <v>44816.0</v>
      </c>
      <c r="B1497" s="66">
        <v>2028.0</v>
      </c>
      <c r="C1497" s="66">
        <v>1.0</v>
      </c>
      <c r="D1497" s="66" t="s">
        <v>205</v>
      </c>
      <c r="E1497" s="66">
        <v>0.0</v>
      </c>
      <c r="F1497" s="66">
        <v>0.9241</v>
      </c>
      <c r="G1497" s="66">
        <v>0.5972</v>
      </c>
      <c r="I1497" s="81">
        <f t="shared" si="5"/>
        <v>0.5473878098</v>
      </c>
      <c r="J1497" s="81">
        <f t="shared" si="4"/>
        <v>0.6462504058</v>
      </c>
    </row>
    <row r="1498">
      <c r="A1498" s="82">
        <v>44816.0</v>
      </c>
      <c r="B1498" s="66">
        <v>2028.0</v>
      </c>
      <c r="C1498" s="66">
        <v>3.0</v>
      </c>
      <c r="D1498" s="66" t="s">
        <v>205</v>
      </c>
      <c r="E1498" s="66">
        <v>0.0</v>
      </c>
      <c r="F1498" s="66">
        <v>0.359</v>
      </c>
      <c r="G1498" s="66">
        <v>0.2224</v>
      </c>
      <c r="I1498" s="81">
        <f t="shared" si="5"/>
        <v>0.6142086331</v>
      </c>
      <c r="J1498" s="81">
        <f t="shared" si="4"/>
        <v>0.6194986072</v>
      </c>
    </row>
    <row r="1499">
      <c r="A1499" s="82">
        <v>44816.0</v>
      </c>
      <c r="B1499" s="66">
        <v>2090.0</v>
      </c>
      <c r="C1499" s="66">
        <v>1.0</v>
      </c>
      <c r="D1499" s="66" t="s">
        <v>205</v>
      </c>
      <c r="E1499" s="66">
        <v>0.0</v>
      </c>
      <c r="F1499" s="66">
        <v>0.8144</v>
      </c>
      <c r="G1499" s="66">
        <v>0.4626</v>
      </c>
      <c r="I1499" s="81">
        <f t="shared" si="5"/>
        <v>0.7604842196</v>
      </c>
      <c r="J1499" s="81">
        <f t="shared" si="4"/>
        <v>0.5680255403</v>
      </c>
    </row>
    <row r="1500">
      <c r="A1500" s="82">
        <v>44816.0</v>
      </c>
      <c r="B1500" s="66">
        <v>2010.0</v>
      </c>
      <c r="C1500" s="66">
        <v>1.0</v>
      </c>
      <c r="D1500" s="66" t="s">
        <v>205</v>
      </c>
      <c r="E1500" s="66">
        <v>0.0</v>
      </c>
      <c r="F1500" s="66">
        <v>0.6151</v>
      </c>
      <c r="G1500" s="66">
        <v>0.3069</v>
      </c>
      <c r="I1500" s="81">
        <f t="shared" si="5"/>
        <v>1.004235907</v>
      </c>
      <c r="J1500" s="81">
        <f t="shared" si="4"/>
        <v>0.4989432613</v>
      </c>
    </row>
    <row r="1501">
      <c r="A1501" s="82">
        <v>44816.0</v>
      </c>
      <c r="B1501" s="66">
        <v>2029.0</v>
      </c>
      <c r="C1501" s="66">
        <v>2.0</v>
      </c>
      <c r="D1501" s="66" t="s">
        <v>205</v>
      </c>
      <c r="E1501" s="66">
        <v>1.0</v>
      </c>
      <c r="F1501" s="66">
        <v>1.2382</v>
      </c>
      <c r="G1501" s="66">
        <v>0.8808</v>
      </c>
      <c r="I1501" s="81">
        <f t="shared" ref="I1501:I1503" si="6">(F1501-G1501)/G1501</f>
        <v>0.4057674841</v>
      </c>
      <c r="J1501" s="81">
        <f t="shared" si="4"/>
        <v>0.711355193</v>
      </c>
    </row>
    <row r="1502">
      <c r="A1502" s="82">
        <v>44816.0</v>
      </c>
      <c r="B1502" s="66">
        <v>2010.0</v>
      </c>
      <c r="C1502" s="66">
        <v>3.0</v>
      </c>
      <c r="D1502" s="66" t="s">
        <v>204</v>
      </c>
      <c r="E1502" s="66">
        <v>1.0</v>
      </c>
      <c r="F1502" s="66">
        <v>0.4348</v>
      </c>
      <c r="G1502" s="66">
        <v>0.2206</v>
      </c>
      <c r="I1502" s="81">
        <f t="shared" si="6"/>
        <v>0.970988214</v>
      </c>
      <c r="J1502" s="81">
        <f t="shared" si="4"/>
        <v>0.5073597056</v>
      </c>
    </row>
    <row r="1503">
      <c r="A1503" s="82">
        <v>44816.0</v>
      </c>
      <c r="B1503" s="66">
        <v>2025.0</v>
      </c>
      <c r="C1503" s="66">
        <v>1.0</v>
      </c>
      <c r="D1503" s="66" t="s">
        <v>204</v>
      </c>
      <c r="E1503" s="66">
        <v>1.0</v>
      </c>
      <c r="F1503" s="66">
        <v>0.653</v>
      </c>
      <c r="G1503" s="66">
        <v>0.3777</v>
      </c>
      <c r="I1503" s="81">
        <f t="shared" si="6"/>
        <v>0.7288853588</v>
      </c>
      <c r="J1503" s="81">
        <f t="shared" si="4"/>
        <v>0.5784073507</v>
      </c>
    </row>
    <row r="1504">
      <c r="A1504" s="82">
        <v>44816.0</v>
      </c>
      <c r="B1504" s="66">
        <v>2025.0</v>
      </c>
      <c r="C1504" s="66">
        <v>2.0</v>
      </c>
      <c r="D1504" s="66" t="s">
        <v>204</v>
      </c>
      <c r="E1504" s="66">
        <v>1.0</v>
      </c>
      <c r="F1504" s="66">
        <v>0.3683</v>
      </c>
      <c r="G1504" s="66">
        <v>0.2106</v>
      </c>
      <c r="I1504" s="81">
        <f t="shared" ref="I1504:I1529" si="7">((F1504-G1504)/G1504)</f>
        <v>0.7488129155</v>
      </c>
      <c r="J1504" s="81">
        <f t="shared" si="4"/>
        <v>0.571816454</v>
      </c>
    </row>
    <row r="1505">
      <c r="A1505" s="82">
        <v>44816.0</v>
      </c>
      <c r="B1505" s="66">
        <v>2028.0</v>
      </c>
      <c r="C1505" s="66">
        <v>2.0</v>
      </c>
      <c r="D1505" s="66" t="s">
        <v>204</v>
      </c>
      <c r="E1505" s="66">
        <v>1.0</v>
      </c>
      <c r="F1505" s="66">
        <v>0.6253</v>
      </c>
      <c r="G1505" s="66">
        <v>0.3691</v>
      </c>
      <c r="I1505" s="81">
        <f t="shared" si="7"/>
        <v>0.6941208345</v>
      </c>
      <c r="J1505" s="81">
        <f t="shared" si="4"/>
        <v>0.5902766672</v>
      </c>
    </row>
    <row r="1506">
      <c r="A1506" s="82">
        <v>44816.0</v>
      </c>
      <c r="B1506" s="66">
        <v>2010.0</v>
      </c>
      <c r="C1506" s="66">
        <v>1.0</v>
      </c>
      <c r="D1506" s="66" t="s">
        <v>204</v>
      </c>
      <c r="E1506" s="66">
        <v>0.0</v>
      </c>
      <c r="F1506" s="66">
        <v>0.4071</v>
      </c>
      <c r="G1506" s="66">
        <v>0.1986</v>
      </c>
      <c r="H1506" s="66" t="s">
        <v>233</v>
      </c>
      <c r="I1506" s="81">
        <f t="shared" si="7"/>
        <v>1.049848943</v>
      </c>
      <c r="J1506" s="81">
        <f t="shared" si="4"/>
        <v>0.4878408254</v>
      </c>
    </row>
    <row r="1507">
      <c r="A1507" s="82">
        <v>44816.0</v>
      </c>
      <c r="B1507" s="66">
        <v>2010.0</v>
      </c>
      <c r="C1507" s="66">
        <v>2.0</v>
      </c>
      <c r="D1507" s="66" t="s">
        <v>204</v>
      </c>
      <c r="E1507" s="66">
        <v>0.0</v>
      </c>
      <c r="F1507" s="66">
        <v>0.5685</v>
      </c>
      <c r="G1507" s="66">
        <v>0.2808</v>
      </c>
      <c r="H1507" s="66" t="s">
        <v>234</v>
      </c>
      <c r="I1507" s="81">
        <f t="shared" si="7"/>
        <v>1.02457265</v>
      </c>
      <c r="J1507" s="81">
        <f t="shared" si="4"/>
        <v>0.4939313984</v>
      </c>
    </row>
    <row r="1508">
      <c r="A1508" s="82">
        <v>44816.0</v>
      </c>
      <c r="B1508" s="66">
        <v>2030.0</v>
      </c>
      <c r="C1508" s="66">
        <v>2.0</v>
      </c>
      <c r="D1508" s="66" t="s">
        <v>204</v>
      </c>
      <c r="E1508" s="66">
        <v>0.0</v>
      </c>
      <c r="F1508" s="66">
        <v>0.1098</v>
      </c>
      <c r="G1508" s="66">
        <v>0.0539</v>
      </c>
      <c r="I1508" s="81">
        <f t="shared" si="7"/>
        <v>1.037105751</v>
      </c>
      <c r="J1508" s="81">
        <f t="shared" si="4"/>
        <v>0.4908925319</v>
      </c>
    </row>
    <row r="1509">
      <c r="A1509" s="82">
        <v>44816.0</v>
      </c>
      <c r="B1509" s="66">
        <v>2030.0</v>
      </c>
      <c r="C1509" s="66">
        <v>3.0</v>
      </c>
      <c r="D1509" s="66" t="s">
        <v>204</v>
      </c>
      <c r="E1509" s="66">
        <v>0.0</v>
      </c>
      <c r="F1509" s="66">
        <v>0.0602</v>
      </c>
      <c r="G1509" s="66">
        <v>0.0329</v>
      </c>
      <c r="I1509" s="81">
        <f t="shared" si="7"/>
        <v>0.829787234</v>
      </c>
      <c r="J1509" s="81">
        <f t="shared" si="4"/>
        <v>0.5465116279</v>
      </c>
    </row>
    <row r="1510">
      <c r="A1510" s="82">
        <v>44816.0</v>
      </c>
      <c r="B1510" s="66">
        <v>2029.0</v>
      </c>
      <c r="C1510" s="66">
        <v>1.0</v>
      </c>
      <c r="D1510" s="66" t="s">
        <v>204</v>
      </c>
      <c r="E1510" s="66">
        <v>1.0</v>
      </c>
      <c r="F1510" s="66">
        <v>0.3619</v>
      </c>
      <c r="G1510" s="66">
        <v>0.2668</v>
      </c>
      <c r="I1510" s="81">
        <f t="shared" si="7"/>
        <v>0.3564467766</v>
      </c>
      <c r="J1510" s="81">
        <f t="shared" si="4"/>
        <v>0.7372202266</v>
      </c>
    </row>
    <row r="1511">
      <c r="A1511" s="82">
        <v>44816.0</v>
      </c>
      <c r="B1511" s="66">
        <v>2029.0</v>
      </c>
      <c r="C1511" s="66">
        <v>1.0</v>
      </c>
      <c r="D1511" s="66" t="s">
        <v>204</v>
      </c>
      <c r="E1511" s="66">
        <v>0.0</v>
      </c>
      <c r="F1511" s="66">
        <v>0.1146</v>
      </c>
      <c r="G1511" s="66">
        <v>0.0555</v>
      </c>
      <c r="I1511" s="81">
        <f t="shared" si="7"/>
        <v>1.064864865</v>
      </c>
      <c r="J1511" s="81">
        <f t="shared" si="4"/>
        <v>0.4842931937</v>
      </c>
    </row>
    <row r="1512">
      <c r="A1512" s="82">
        <v>44816.0</v>
      </c>
      <c r="B1512" s="66">
        <v>2030.0</v>
      </c>
      <c r="C1512" s="66">
        <v>3.0</v>
      </c>
      <c r="D1512" s="66" t="s">
        <v>205</v>
      </c>
      <c r="E1512" s="66">
        <v>0.0</v>
      </c>
      <c r="F1512" s="66">
        <v>0.0375</v>
      </c>
      <c r="G1512" s="66">
        <v>0.0198</v>
      </c>
      <c r="I1512" s="81">
        <f t="shared" si="7"/>
        <v>0.8939393939</v>
      </c>
      <c r="J1512" s="81">
        <f t="shared" si="4"/>
        <v>0.528</v>
      </c>
    </row>
    <row r="1513">
      <c r="A1513" s="82">
        <v>44816.0</v>
      </c>
      <c r="B1513" s="66">
        <v>2360.0</v>
      </c>
      <c r="C1513" s="66">
        <v>1.0</v>
      </c>
      <c r="D1513" s="66" t="s">
        <v>204</v>
      </c>
      <c r="E1513" s="66">
        <v>0.0</v>
      </c>
      <c r="F1513" s="66">
        <v>0.3853</v>
      </c>
      <c r="G1513" s="66">
        <v>0.2077</v>
      </c>
      <c r="I1513" s="81">
        <f t="shared" si="7"/>
        <v>0.8550794415</v>
      </c>
      <c r="J1513" s="81">
        <f t="shared" si="4"/>
        <v>0.5390604724</v>
      </c>
    </row>
    <row r="1514">
      <c r="A1514" s="82">
        <v>44816.0</v>
      </c>
      <c r="B1514" s="66">
        <v>2030.0</v>
      </c>
      <c r="C1514" s="66">
        <v>2.0</v>
      </c>
      <c r="D1514" s="66" t="s">
        <v>204</v>
      </c>
      <c r="E1514" s="66">
        <v>1.0</v>
      </c>
      <c r="F1514" s="66">
        <v>0.7401</v>
      </c>
      <c r="G1514" s="66">
        <v>0.4011</v>
      </c>
      <c r="I1514" s="81">
        <f t="shared" si="7"/>
        <v>0.8451757666</v>
      </c>
      <c r="J1514" s="81">
        <f t="shared" si="4"/>
        <v>0.54195379</v>
      </c>
    </row>
    <row r="1515">
      <c r="A1515" s="82">
        <v>44816.0</v>
      </c>
      <c r="B1515" s="66">
        <v>2030.0</v>
      </c>
      <c r="C1515" s="66">
        <v>1.0</v>
      </c>
      <c r="D1515" s="66" t="s">
        <v>205</v>
      </c>
      <c r="E1515" s="66">
        <v>1.0</v>
      </c>
      <c r="F1515" s="66">
        <v>0.5276</v>
      </c>
      <c r="G1515" s="66">
        <v>0.2974</v>
      </c>
      <c r="I1515" s="81">
        <f t="shared" si="7"/>
        <v>0.7740416947</v>
      </c>
      <c r="J1515" s="81">
        <f t="shared" si="4"/>
        <v>0.5636846096</v>
      </c>
    </row>
    <row r="1516">
      <c r="A1516" s="82">
        <v>44816.0</v>
      </c>
      <c r="B1516" s="66">
        <v>2030.0</v>
      </c>
      <c r="C1516" s="66">
        <v>1.0</v>
      </c>
      <c r="D1516" s="66" t="s">
        <v>204</v>
      </c>
      <c r="E1516" s="66">
        <v>0.0</v>
      </c>
      <c r="F1516" s="66">
        <v>0.1335</v>
      </c>
      <c r="G1516" s="66">
        <v>0.0695</v>
      </c>
      <c r="I1516" s="81">
        <f t="shared" si="7"/>
        <v>0.9208633094</v>
      </c>
      <c r="J1516" s="81">
        <f t="shared" si="4"/>
        <v>0.5205992509</v>
      </c>
    </row>
    <row r="1517">
      <c r="A1517" s="82">
        <v>44816.0</v>
      </c>
      <c r="B1517" s="66">
        <v>2030.0</v>
      </c>
      <c r="C1517" s="66">
        <v>2.0</v>
      </c>
      <c r="D1517" s="66" t="s">
        <v>205</v>
      </c>
      <c r="E1517" s="66">
        <v>0.0</v>
      </c>
      <c r="F1517" s="66">
        <v>0.9161</v>
      </c>
      <c r="G1517" s="66">
        <v>0.512</v>
      </c>
      <c r="H1517" s="66" t="s">
        <v>235</v>
      </c>
      <c r="I1517" s="81">
        <f t="shared" si="7"/>
        <v>0.7892578125</v>
      </c>
      <c r="J1517" s="81">
        <f t="shared" si="4"/>
        <v>0.5588909508</v>
      </c>
    </row>
    <row r="1518">
      <c r="A1518" s="82">
        <v>44816.0</v>
      </c>
      <c r="B1518" s="66">
        <v>2360.0</v>
      </c>
      <c r="C1518" s="66">
        <v>2.0</v>
      </c>
      <c r="D1518" s="66" t="s">
        <v>205</v>
      </c>
      <c r="E1518" s="66">
        <v>0.0</v>
      </c>
      <c r="F1518" s="66">
        <v>0.2837</v>
      </c>
      <c r="G1518" s="66">
        <v>0.1583</v>
      </c>
      <c r="I1518" s="81">
        <f t="shared" si="7"/>
        <v>0.792166772</v>
      </c>
      <c r="J1518" s="81">
        <f t="shared" si="4"/>
        <v>0.5579837857</v>
      </c>
    </row>
    <row r="1519">
      <c r="A1519" s="82">
        <v>44816.0</v>
      </c>
      <c r="B1519" s="66">
        <v>2360.0</v>
      </c>
      <c r="C1519" s="66">
        <v>2.0</v>
      </c>
      <c r="D1519" s="66" t="s">
        <v>204</v>
      </c>
      <c r="E1519" s="66">
        <v>0.0</v>
      </c>
      <c r="F1519" s="66">
        <v>0.4887</v>
      </c>
      <c r="G1519" s="66">
        <v>0.2395</v>
      </c>
      <c r="I1519" s="81">
        <f t="shared" si="7"/>
        <v>1.040501044</v>
      </c>
      <c r="J1519" s="81">
        <f t="shared" si="4"/>
        <v>0.4900757111</v>
      </c>
    </row>
    <row r="1520">
      <c r="A1520" s="82">
        <v>44816.0</v>
      </c>
      <c r="B1520" s="66">
        <v>2023.0</v>
      </c>
      <c r="C1520" s="66">
        <v>2.0</v>
      </c>
      <c r="D1520" s="66" t="s">
        <v>204</v>
      </c>
      <c r="E1520" s="66">
        <v>0.0</v>
      </c>
      <c r="F1520" s="66">
        <v>0.378</v>
      </c>
      <c r="G1520" s="66">
        <v>0.2201</v>
      </c>
      <c r="I1520" s="81">
        <f t="shared" si="7"/>
        <v>0.7174011813</v>
      </c>
      <c r="J1520" s="81">
        <f t="shared" si="4"/>
        <v>0.5822751323</v>
      </c>
    </row>
    <row r="1521">
      <c r="A1521" s="82">
        <v>44816.0</v>
      </c>
      <c r="B1521" s="66">
        <v>2023.0</v>
      </c>
      <c r="C1521" s="66">
        <v>2.0</v>
      </c>
      <c r="D1521" s="66" t="s">
        <v>205</v>
      </c>
      <c r="E1521" s="66">
        <v>0.0</v>
      </c>
      <c r="F1521" s="66">
        <v>0.3423</v>
      </c>
      <c r="G1521" s="66">
        <v>0.1958</v>
      </c>
      <c r="I1521" s="81">
        <f t="shared" si="7"/>
        <v>0.7482124617</v>
      </c>
      <c r="J1521" s="81">
        <f t="shared" si="4"/>
        <v>0.5720128542</v>
      </c>
    </row>
    <row r="1522">
      <c r="A1522" s="82">
        <v>44816.0</v>
      </c>
      <c r="B1522" s="66">
        <v>2023.0</v>
      </c>
      <c r="C1522" s="66">
        <v>1.0</v>
      </c>
      <c r="D1522" s="66" t="s">
        <v>205</v>
      </c>
      <c r="E1522" s="66">
        <v>0.0</v>
      </c>
      <c r="F1522" s="66">
        <v>1.0336</v>
      </c>
      <c r="G1522" s="66">
        <v>0.6664</v>
      </c>
      <c r="I1522" s="81">
        <f t="shared" si="7"/>
        <v>0.5510204082</v>
      </c>
      <c r="J1522" s="81">
        <f t="shared" si="4"/>
        <v>0.6447368421</v>
      </c>
    </row>
    <row r="1523">
      <c r="A1523" s="82">
        <v>44816.0</v>
      </c>
      <c r="B1523" s="66">
        <v>2023.0</v>
      </c>
      <c r="C1523" s="66">
        <v>1.0</v>
      </c>
      <c r="D1523" s="66" t="s">
        <v>204</v>
      </c>
      <c r="E1523" s="66">
        <v>0.0</v>
      </c>
      <c r="F1523" s="66">
        <v>0.6833</v>
      </c>
      <c r="G1523" s="66">
        <v>0.457</v>
      </c>
      <c r="I1523" s="81">
        <f t="shared" si="7"/>
        <v>0.4951859956</v>
      </c>
      <c r="J1523" s="81">
        <f t="shared" si="4"/>
        <v>0.6688131128</v>
      </c>
    </row>
    <row r="1524">
      <c r="A1524" s="82">
        <v>44816.0</v>
      </c>
      <c r="B1524" s="66">
        <v>2020.0</v>
      </c>
      <c r="C1524" s="66">
        <v>4.0</v>
      </c>
      <c r="D1524" s="66" t="s">
        <v>205</v>
      </c>
      <c r="E1524" s="66">
        <v>0.0</v>
      </c>
      <c r="F1524" s="66">
        <v>0.2418</v>
      </c>
      <c r="G1524" s="66">
        <v>0.1379</v>
      </c>
      <c r="I1524" s="81">
        <f t="shared" si="7"/>
        <v>0.753444525</v>
      </c>
      <c r="J1524" s="81">
        <f t="shared" si="4"/>
        <v>0.570306038</v>
      </c>
    </row>
    <row r="1525">
      <c r="A1525" s="82">
        <v>44816.0</v>
      </c>
      <c r="B1525" s="66">
        <v>2020.0</v>
      </c>
      <c r="C1525" s="66">
        <v>3.0</v>
      </c>
      <c r="D1525" s="66" t="s">
        <v>204</v>
      </c>
      <c r="E1525" s="66">
        <v>0.0</v>
      </c>
      <c r="F1525" s="66">
        <v>0.2744</v>
      </c>
      <c r="G1525" s="66">
        <v>0.1542</v>
      </c>
      <c r="I1525" s="81">
        <f t="shared" si="7"/>
        <v>0.7795071336</v>
      </c>
      <c r="J1525" s="81">
        <f t="shared" si="4"/>
        <v>0.5619533528</v>
      </c>
    </row>
    <row r="1526">
      <c r="A1526" s="82">
        <v>44816.0</v>
      </c>
      <c r="B1526" s="66">
        <v>2020.0</v>
      </c>
      <c r="C1526" s="66">
        <v>3.0</v>
      </c>
      <c r="D1526" s="66" t="s">
        <v>205</v>
      </c>
      <c r="E1526" s="66">
        <v>0.0</v>
      </c>
      <c r="F1526" s="66">
        <v>0.4905</v>
      </c>
      <c r="G1526" s="66">
        <v>0.2877</v>
      </c>
      <c r="I1526" s="81">
        <f t="shared" si="7"/>
        <v>0.7049009385</v>
      </c>
      <c r="J1526" s="81">
        <f t="shared" si="4"/>
        <v>0.5865443425</v>
      </c>
    </row>
    <row r="1527">
      <c r="A1527" s="82">
        <v>44816.0</v>
      </c>
      <c r="B1527" s="66">
        <v>2020.0</v>
      </c>
      <c r="C1527" s="66">
        <v>2.0</v>
      </c>
      <c r="D1527" s="66" t="s">
        <v>205</v>
      </c>
      <c r="E1527" s="66">
        <v>0.0</v>
      </c>
      <c r="F1527" s="66">
        <v>0.3059</v>
      </c>
      <c r="G1527" s="66">
        <v>0.1804</v>
      </c>
      <c r="I1527" s="81">
        <f t="shared" si="7"/>
        <v>0.6956762749</v>
      </c>
      <c r="J1527" s="81">
        <f t="shared" si="4"/>
        <v>0.5897352076</v>
      </c>
    </row>
    <row r="1528">
      <c r="A1528" s="82">
        <v>44816.0</v>
      </c>
      <c r="B1528" s="66">
        <v>2020.0</v>
      </c>
      <c r="C1528" s="66">
        <v>4.0</v>
      </c>
      <c r="D1528" s="66" t="s">
        <v>204</v>
      </c>
      <c r="E1528" s="66">
        <v>0.0</v>
      </c>
      <c r="F1528" s="66">
        <v>0.6462</v>
      </c>
      <c r="G1528" s="66">
        <v>0.3619</v>
      </c>
      <c r="I1528" s="81">
        <f t="shared" si="7"/>
        <v>0.785576126</v>
      </c>
      <c r="J1528" s="81">
        <f t="shared" si="4"/>
        <v>0.5600433302</v>
      </c>
    </row>
    <row r="1529">
      <c r="A1529" s="82">
        <v>44816.0</v>
      </c>
      <c r="B1529" s="66">
        <v>2020.0</v>
      </c>
      <c r="C1529" s="66">
        <v>2.0</v>
      </c>
      <c r="D1529" s="66" t="s">
        <v>204</v>
      </c>
      <c r="E1529" s="66">
        <v>0.0</v>
      </c>
      <c r="F1529" s="66">
        <v>0.4222</v>
      </c>
      <c r="G1529" s="66">
        <v>0.2302</v>
      </c>
      <c r="I1529" s="81">
        <f t="shared" si="7"/>
        <v>0.8340573414</v>
      </c>
      <c r="J1529" s="81">
        <f t="shared" si="4"/>
        <v>0.5452392231</v>
      </c>
    </row>
    <row r="1530">
      <c r="A1530" s="82">
        <v>44816.0</v>
      </c>
      <c r="B1530" s="66">
        <v>2020.0</v>
      </c>
      <c r="C1530" s="66">
        <v>1.0</v>
      </c>
      <c r="D1530" s="66" t="s">
        <v>204</v>
      </c>
      <c r="E1530" s="66">
        <v>1.0</v>
      </c>
      <c r="F1530" s="66">
        <v>0.621</v>
      </c>
      <c r="G1530" s="66">
        <v>0.3373</v>
      </c>
      <c r="I1530" s="81">
        <f>(F1530-G1530)/G1529</f>
        <v>1.232406603</v>
      </c>
      <c r="J1530" s="81">
        <f t="shared" si="4"/>
        <v>0.5431561997</v>
      </c>
    </row>
    <row r="1531">
      <c r="A1531" s="82">
        <v>44816.0</v>
      </c>
      <c r="B1531" s="66">
        <v>2020.0</v>
      </c>
      <c r="C1531" s="66">
        <v>1.0</v>
      </c>
      <c r="D1531" s="66" t="s">
        <v>204</v>
      </c>
      <c r="E1531" s="66">
        <v>0.0</v>
      </c>
      <c r="F1531" s="66">
        <v>0.2131</v>
      </c>
      <c r="G1531" s="66">
        <v>0.112</v>
      </c>
      <c r="I1531" s="81">
        <f>(F1531-G1531)/G1531</f>
        <v>0.9026785714</v>
      </c>
      <c r="J1531" s="81">
        <f t="shared" si="4"/>
        <v>0.5255748475</v>
      </c>
    </row>
    <row r="1532">
      <c r="A1532" s="82">
        <v>44816.0</v>
      </c>
      <c r="B1532" s="66">
        <v>2020.0</v>
      </c>
      <c r="C1532" s="66">
        <v>1.0</v>
      </c>
      <c r="D1532" s="66" t="s">
        <v>205</v>
      </c>
      <c r="E1532" s="66">
        <v>0.0</v>
      </c>
      <c r="F1532" s="66">
        <v>0.0658</v>
      </c>
      <c r="G1532" s="66">
        <v>0.0339</v>
      </c>
      <c r="I1532" s="81">
        <f t="shared" ref="I1532:I1731" si="8">((F1532-G1532)/G1532)</f>
        <v>0.9410029499</v>
      </c>
      <c r="J1532" s="81">
        <f t="shared" si="4"/>
        <v>0.5151975684</v>
      </c>
    </row>
    <row r="1533">
      <c r="A1533" s="82">
        <v>44816.0</v>
      </c>
      <c r="B1533" s="66">
        <v>2025.0</v>
      </c>
      <c r="C1533" s="66">
        <v>4.0</v>
      </c>
      <c r="D1533" s="66" t="s">
        <v>204</v>
      </c>
      <c r="E1533" s="66">
        <v>0.0</v>
      </c>
      <c r="F1533" s="66">
        <v>0.3584</v>
      </c>
      <c r="G1533" s="66">
        <v>0.1982</v>
      </c>
      <c r="I1533" s="81">
        <f t="shared" si="8"/>
        <v>0.8082744702</v>
      </c>
      <c r="J1533" s="81">
        <f t="shared" si="4"/>
        <v>0.5530133929</v>
      </c>
    </row>
    <row r="1534">
      <c r="A1534" s="82">
        <v>44816.0</v>
      </c>
      <c r="B1534" s="66">
        <v>2025.0</v>
      </c>
      <c r="C1534" s="66">
        <v>4.0</v>
      </c>
      <c r="D1534" s="66" t="s">
        <v>205</v>
      </c>
      <c r="E1534" s="66">
        <v>0.0</v>
      </c>
      <c r="F1534" s="66">
        <v>1.6804</v>
      </c>
      <c r="G1534" s="66">
        <v>0.9747</v>
      </c>
      <c r="I1534" s="81">
        <f t="shared" si="8"/>
        <v>0.7240176465</v>
      </c>
      <c r="J1534" s="81">
        <f t="shared" si="4"/>
        <v>0.5800404666</v>
      </c>
    </row>
    <row r="1535">
      <c r="A1535" s="82">
        <v>44816.0</v>
      </c>
      <c r="B1535" s="66">
        <v>2025.0</v>
      </c>
      <c r="C1535" s="66">
        <v>3.0</v>
      </c>
      <c r="D1535" s="66" t="s">
        <v>204</v>
      </c>
      <c r="E1535" s="66">
        <v>0.0</v>
      </c>
      <c r="F1535" s="66">
        <v>0.0545</v>
      </c>
      <c r="G1535" s="66">
        <v>0.0284</v>
      </c>
      <c r="I1535" s="81">
        <f t="shared" si="8"/>
        <v>0.9190140845</v>
      </c>
      <c r="J1535" s="81">
        <f t="shared" si="4"/>
        <v>0.5211009174</v>
      </c>
    </row>
    <row r="1536">
      <c r="A1536" s="82">
        <v>44816.0</v>
      </c>
      <c r="B1536" s="66">
        <v>2025.0</v>
      </c>
      <c r="C1536" s="66">
        <v>3.0</v>
      </c>
      <c r="D1536" s="66" t="s">
        <v>205</v>
      </c>
      <c r="E1536" s="66">
        <v>0.0</v>
      </c>
      <c r="F1536" s="66">
        <v>0.5657</v>
      </c>
      <c r="G1536" s="66">
        <v>0.3346</v>
      </c>
      <c r="I1536" s="81">
        <f t="shared" si="8"/>
        <v>0.6906754334</v>
      </c>
      <c r="J1536" s="81">
        <f t="shared" si="4"/>
        <v>0.5914795828</v>
      </c>
    </row>
    <row r="1537">
      <c r="A1537" s="82">
        <v>44816.0</v>
      </c>
      <c r="B1537" s="66">
        <v>2010.0</v>
      </c>
      <c r="C1537" s="66">
        <v>3.0</v>
      </c>
      <c r="D1537" s="66" t="s">
        <v>204</v>
      </c>
      <c r="E1537" s="66">
        <v>0.0</v>
      </c>
      <c r="F1537" s="66">
        <v>0.4351</v>
      </c>
      <c r="G1537" s="66">
        <v>0.2243</v>
      </c>
      <c r="I1537" s="81">
        <f t="shared" si="8"/>
        <v>0.9398127508</v>
      </c>
      <c r="J1537" s="81">
        <f t="shared" si="4"/>
        <v>0.515513675</v>
      </c>
    </row>
    <row r="1538">
      <c r="A1538" s="82">
        <v>44816.0</v>
      </c>
      <c r="B1538" s="66">
        <v>2025.0</v>
      </c>
      <c r="C1538" s="66">
        <v>1.0</v>
      </c>
      <c r="D1538" s="66" t="s">
        <v>204</v>
      </c>
      <c r="E1538" s="66">
        <v>0.0</v>
      </c>
      <c r="F1538" s="66">
        <v>0.4471</v>
      </c>
      <c r="G1538" s="66">
        <v>0.2743</v>
      </c>
      <c r="I1538" s="81">
        <f t="shared" si="8"/>
        <v>0.6299671892</v>
      </c>
      <c r="J1538" s="81">
        <f t="shared" si="4"/>
        <v>0.613509282</v>
      </c>
    </row>
    <row r="1539">
      <c r="A1539" s="82">
        <v>44816.0</v>
      </c>
      <c r="B1539" s="66">
        <v>2025.0</v>
      </c>
      <c r="C1539" s="66">
        <v>2.0</v>
      </c>
      <c r="D1539" s="66" t="s">
        <v>204</v>
      </c>
      <c r="E1539" s="66">
        <v>0.0</v>
      </c>
      <c r="F1539" s="66">
        <v>0.1288</v>
      </c>
      <c r="G1539" s="66">
        <v>0.0865</v>
      </c>
      <c r="I1539" s="81">
        <f t="shared" si="8"/>
        <v>0.489017341</v>
      </c>
      <c r="J1539" s="81">
        <f t="shared" si="4"/>
        <v>0.6715838509</v>
      </c>
    </row>
    <row r="1540">
      <c r="A1540" s="82">
        <v>44816.0</v>
      </c>
      <c r="B1540" s="66">
        <v>2028.0</v>
      </c>
      <c r="C1540" s="66">
        <v>3.0</v>
      </c>
      <c r="D1540" s="66" t="s">
        <v>204</v>
      </c>
      <c r="E1540" s="66">
        <v>0.0</v>
      </c>
      <c r="F1540" s="66">
        <v>0.5408</v>
      </c>
      <c r="G1540" s="66">
        <v>0.3456</v>
      </c>
      <c r="I1540" s="81">
        <f t="shared" si="8"/>
        <v>0.5648148148</v>
      </c>
      <c r="J1540" s="81">
        <f t="shared" si="4"/>
        <v>0.6390532544</v>
      </c>
    </row>
    <row r="1541">
      <c r="A1541" s="82">
        <v>44816.0</v>
      </c>
      <c r="B1541" s="66">
        <v>2028.0</v>
      </c>
      <c r="C1541" s="66">
        <v>2.0</v>
      </c>
      <c r="D1541" s="66" t="s">
        <v>204</v>
      </c>
      <c r="E1541" s="66">
        <v>0.0</v>
      </c>
      <c r="F1541" s="66">
        <v>0.4346</v>
      </c>
      <c r="G1541" s="66">
        <v>0.2534</v>
      </c>
      <c r="I1541" s="81">
        <f t="shared" si="8"/>
        <v>0.7150749803</v>
      </c>
      <c r="J1541" s="81">
        <f t="shared" si="4"/>
        <v>0.5830648873</v>
      </c>
    </row>
    <row r="1542">
      <c r="A1542" s="82">
        <v>44816.0</v>
      </c>
      <c r="B1542" s="66">
        <v>2025.0</v>
      </c>
      <c r="C1542" s="66">
        <v>2.0</v>
      </c>
      <c r="D1542" s="66" t="s">
        <v>205</v>
      </c>
      <c r="E1542" s="66">
        <v>0.0</v>
      </c>
      <c r="F1542" s="66">
        <v>0.8628</v>
      </c>
      <c r="G1542" s="66">
        <v>0.5727</v>
      </c>
      <c r="I1542" s="81">
        <f t="shared" si="8"/>
        <v>0.5065479309</v>
      </c>
      <c r="J1542" s="81">
        <f t="shared" si="4"/>
        <v>0.6637691238</v>
      </c>
    </row>
    <row r="1543">
      <c r="A1543" s="82">
        <v>44816.0</v>
      </c>
      <c r="B1543" s="66">
        <v>2025.0</v>
      </c>
      <c r="C1543" s="66">
        <v>1.0</v>
      </c>
      <c r="D1543" s="66" t="s">
        <v>205</v>
      </c>
      <c r="E1543" s="66">
        <v>0.0</v>
      </c>
      <c r="F1543" s="66">
        <v>0.889</v>
      </c>
      <c r="G1543" s="66">
        <v>0.535</v>
      </c>
      <c r="I1543" s="81">
        <f t="shared" si="8"/>
        <v>0.661682243</v>
      </c>
      <c r="J1543" s="81">
        <f t="shared" si="4"/>
        <v>0.601799775</v>
      </c>
    </row>
    <row r="1544">
      <c r="A1544" s="82">
        <v>44816.0</v>
      </c>
      <c r="B1544" s="66">
        <v>2360.0</v>
      </c>
      <c r="C1544" s="66">
        <v>1.0</v>
      </c>
      <c r="D1544" s="66" t="s">
        <v>204</v>
      </c>
      <c r="E1544" s="66">
        <v>1.0</v>
      </c>
      <c r="F1544" s="66">
        <v>0.2173</v>
      </c>
      <c r="G1544" s="66">
        <v>0.1154</v>
      </c>
      <c r="I1544" s="81">
        <f t="shared" si="8"/>
        <v>0.8830155979</v>
      </c>
      <c r="J1544" s="81">
        <f t="shared" si="4"/>
        <v>0.5310630465</v>
      </c>
    </row>
    <row r="1545">
      <c r="A1545" s="82">
        <v>44816.0</v>
      </c>
      <c r="B1545" s="66">
        <v>2360.0</v>
      </c>
      <c r="C1545" s="66">
        <v>2.0</v>
      </c>
      <c r="D1545" s="66" t="s">
        <v>204</v>
      </c>
      <c r="E1545" s="66">
        <v>1.0</v>
      </c>
      <c r="F1545" s="66">
        <v>0.8483</v>
      </c>
      <c r="G1545" s="66">
        <v>0.4872</v>
      </c>
      <c r="I1545" s="81">
        <f t="shared" si="8"/>
        <v>0.7411740558</v>
      </c>
      <c r="J1545" s="81">
        <f t="shared" si="4"/>
        <v>0.5743251208</v>
      </c>
    </row>
    <row r="1546">
      <c r="A1546" s="82">
        <v>44816.0</v>
      </c>
      <c r="B1546" s="66">
        <v>2023.0</v>
      </c>
      <c r="C1546" s="66">
        <v>2.0</v>
      </c>
      <c r="D1546" s="66" t="s">
        <v>204</v>
      </c>
      <c r="E1546" s="66">
        <v>1.0</v>
      </c>
      <c r="F1546" s="66">
        <v>0.4407</v>
      </c>
      <c r="G1546" s="66">
        <v>0.2442</v>
      </c>
      <c r="I1546" s="81">
        <f t="shared" si="8"/>
        <v>0.8046683047</v>
      </c>
      <c r="J1546" s="81">
        <f t="shared" si="4"/>
        <v>0.5541184479</v>
      </c>
    </row>
    <row r="1547">
      <c r="A1547" s="82">
        <v>44816.0</v>
      </c>
      <c r="B1547" s="66">
        <v>2023.0</v>
      </c>
      <c r="C1547" s="66">
        <v>1.0</v>
      </c>
      <c r="D1547" s="66" t="s">
        <v>204</v>
      </c>
      <c r="E1547" s="66">
        <v>1.0</v>
      </c>
      <c r="F1547" s="66">
        <v>0.5275</v>
      </c>
      <c r="G1547" s="66">
        <v>0.2978</v>
      </c>
      <c r="I1547" s="81">
        <f t="shared" si="8"/>
        <v>0.7713230356</v>
      </c>
      <c r="J1547" s="81">
        <f t="shared" si="4"/>
        <v>0.564549763</v>
      </c>
    </row>
    <row r="1548">
      <c r="A1548" s="82">
        <v>44816.0</v>
      </c>
      <c r="B1548" s="66">
        <v>2020.0</v>
      </c>
      <c r="C1548" s="66">
        <v>4.0</v>
      </c>
      <c r="D1548" s="66" t="s">
        <v>204</v>
      </c>
      <c r="E1548" s="66">
        <v>1.0</v>
      </c>
      <c r="F1548" s="66">
        <v>1.0051</v>
      </c>
      <c r="G1548" s="66">
        <v>0.5209</v>
      </c>
      <c r="I1548" s="81">
        <f t="shared" si="8"/>
        <v>0.9295450182</v>
      </c>
      <c r="J1548" s="81">
        <f t="shared" si="4"/>
        <v>0.5182568899</v>
      </c>
    </row>
    <row r="1549">
      <c r="A1549" s="82">
        <v>44816.0</v>
      </c>
      <c r="B1549" s="66">
        <v>2020.0</v>
      </c>
      <c r="C1549" s="66">
        <v>3.0</v>
      </c>
      <c r="D1549" s="66" t="s">
        <v>204</v>
      </c>
      <c r="E1549" s="66">
        <v>1.0</v>
      </c>
      <c r="F1549" s="66">
        <v>0.5278</v>
      </c>
      <c r="G1549" s="66">
        <v>0.2931</v>
      </c>
      <c r="I1549" s="81">
        <f t="shared" si="8"/>
        <v>0.8007505971</v>
      </c>
      <c r="J1549" s="81">
        <f t="shared" si="4"/>
        <v>0.5553239864</v>
      </c>
    </row>
    <row r="1550">
      <c r="A1550" s="82">
        <v>44816.0</v>
      </c>
      <c r="B1550" s="66">
        <v>2020.0</v>
      </c>
      <c r="C1550" s="66">
        <v>2.0</v>
      </c>
      <c r="D1550" s="66" t="s">
        <v>204</v>
      </c>
      <c r="E1550" s="66">
        <v>1.0</v>
      </c>
      <c r="F1550" s="66">
        <v>0.8182</v>
      </c>
      <c r="G1550" s="66">
        <v>0.452</v>
      </c>
      <c r="I1550" s="81">
        <f t="shared" si="8"/>
        <v>0.8101769912</v>
      </c>
      <c r="J1550" s="81">
        <f t="shared" si="4"/>
        <v>0.5524321682</v>
      </c>
    </row>
    <row r="1551">
      <c r="A1551" s="82">
        <v>44816.0</v>
      </c>
      <c r="B1551" s="66">
        <v>2025.0</v>
      </c>
      <c r="C1551" s="66">
        <v>4.0</v>
      </c>
      <c r="D1551" s="66" t="s">
        <v>204</v>
      </c>
      <c r="E1551" s="66">
        <v>1.0</v>
      </c>
      <c r="F1551" s="66">
        <v>0.2496</v>
      </c>
      <c r="G1551" s="66">
        <v>0.1315</v>
      </c>
      <c r="I1551" s="81">
        <f t="shared" si="8"/>
        <v>0.8980988593</v>
      </c>
      <c r="J1551" s="81">
        <f t="shared" si="4"/>
        <v>0.5268429487</v>
      </c>
    </row>
    <row r="1552">
      <c r="A1552" s="82">
        <v>44816.0</v>
      </c>
      <c r="B1552" s="66">
        <v>2025.0</v>
      </c>
      <c r="C1552" s="66">
        <v>3.0</v>
      </c>
      <c r="D1552" s="66" t="s">
        <v>204</v>
      </c>
      <c r="E1552" s="66">
        <v>1.0</v>
      </c>
      <c r="F1552" s="66">
        <v>0.0692</v>
      </c>
      <c r="G1552" s="66">
        <v>0.0275</v>
      </c>
      <c r="I1552" s="81">
        <f t="shared" si="8"/>
        <v>1.516363636</v>
      </c>
      <c r="J1552" s="81">
        <f t="shared" si="4"/>
        <v>0.3973988439</v>
      </c>
    </row>
    <row r="1553">
      <c r="A1553" s="82">
        <v>44816.0</v>
      </c>
      <c r="B1553" s="66">
        <v>2029.0</v>
      </c>
      <c r="C1553" s="66">
        <v>1.0</v>
      </c>
      <c r="D1553" s="66" t="s">
        <v>205</v>
      </c>
      <c r="E1553" s="66">
        <v>1.0</v>
      </c>
      <c r="F1553" s="66">
        <v>1.0756</v>
      </c>
      <c r="G1553" s="66">
        <v>0.6878</v>
      </c>
      <c r="I1553" s="81">
        <f t="shared" si="8"/>
        <v>0.5638266938</v>
      </c>
      <c r="J1553" s="81">
        <f t="shared" si="4"/>
        <v>0.6394570472</v>
      </c>
    </row>
    <row r="1554">
      <c r="A1554" s="82">
        <v>44816.0</v>
      </c>
      <c r="B1554" s="66">
        <v>2029.0</v>
      </c>
      <c r="C1554" s="66">
        <v>1.0</v>
      </c>
      <c r="D1554" s="66" t="s">
        <v>205</v>
      </c>
      <c r="E1554" s="66">
        <v>0.0</v>
      </c>
      <c r="F1554" s="66">
        <v>2.373</v>
      </c>
      <c r="G1554" s="66">
        <v>1.4555</v>
      </c>
      <c r="I1554" s="81">
        <f t="shared" si="8"/>
        <v>0.6303675713</v>
      </c>
      <c r="J1554" s="81">
        <f t="shared" si="4"/>
        <v>0.6133586178</v>
      </c>
    </row>
    <row r="1555">
      <c r="A1555" s="82">
        <v>44816.0</v>
      </c>
      <c r="B1555" s="66">
        <v>2030.0</v>
      </c>
      <c r="C1555" s="66">
        <v>1.0</v>
      </c>
      <c r="D1555" s="66" t="s">
        <v>205</v>
      </c>
      <c r="E1555" s="66">
        <v>0.0</v>
      </c>
      <c r="F1555" s="66">
        <v>0.6526</v>
      </c>
      <c r="G1555" s="66">
        <v>0.4055</v>
      </c>
      <c r="I1555" s="81">
        <f t="shared" si="8"/>
        <v>0.6093711467</v>
      </c>
      <c r="J1555" s="81">
        <f t="shared" si="4"/>
        <v>0.621360711</v>
      </c>
    </row>
    <row r="1556">
      <c r="A1556" s="82">
        <v>44769.0</v>
      </c>
      <c r="B1556" s="66">
        <v>2009.0</v>
      </c>
      <c r="C1556" s="66">
        <v>2.0</v>
      </c>
      <c r="D1556" s="66" t="s">
        <v>205</v>
      </c>
      <c r="E1556" s="66">
        <v>0.0</v>
      </c>
      <c r="F1556" s="66">
        <v>1.174</v>
      </c>
      <c r="G1556" s="66">
        <v>0.706</v>
      </c>
      <c r="H1556" s="66" t="s">
        <v>236</v>
      </c>
      <c r="I1556" s="81">
        <f t="shared" si="8"/>
        <v>0.6628895184</v>
      </c>
      <c r="J1556" s="81">
        <f t="shared" si="4"/>
        <v>0.601362862</v>
      </c>
    </row>
    <row r="1557">
      <c r="A1557" s="82">
        <v>44769.0</v>
      </c>
      <c r="B1557" s="66">
        <v>2009.0</v>
      </c>
      <c r="C1557" s="66">
        <v>2.0</v>
      </c>
      <c r="D1557" s="66" t="s">
        <v>204</v>
      </c>
      <c r="E1557" s="66">
        <v>0.0</v>
      </c>
      <c r="F1557" s="66">
        <v>0.138</v>
      </c>
      <c r="G1557" s="66">
        <v>0.085</v>
      </c>
      <c r="H1557" s="66" t="s">
        <v>236</v>
      </c>
      <c r="I1557" s="81">
        <f t="shared" si="8"/>
        <v>0.6235294118</v>
      </c>
      <c r="J1557" s="81">
        <f t="shared" si="4"/>
        <v>0.615942029</v>
      </c>
    </row>
    <row r="1558">
      <c r="A1558" s="82">
        <v>44769.0</v>
      </c>
      <c r="B1558" s="66">
        <v>2367.0</v>
      </c>
      <c r="C1558" s="66">
        <v>2.0</v>
      </c>
      <c r="D1558" s="66" t="s">
        <v>205</v>
      </c>
      <c r="E1558" s="66">
        <v>0.0</v>
      </c>
      <c r="F1558" s="66">
        <v>1.196</v>
      </c>
      <c r="G1558" s="66">
        <v>0.68</v>
      </c>
      <c r="H1558" s="66" t="s">
        <v>236</v>
      </c>
      <c r="I1558" s="81">
        <f t="shared" si="8"/>
        <v>0.7588235294</v>
      </c>
      <c r="J1558" s="81">
        <f t="shared" si="4"/>
        <v>0.5685618729</v>
      </c>
    </row>
    <row r="1559">
      <c r="A1559" s="82">
        <v>44769.0</v>
      </c>
      <c r="B1559" s="66">
        <v>2367.0</v>
      </c>
      <c r="C1559" s="66">
        <v>2.0</v>
      </c>
      <c r="D1559" s="66" t="s">
        <v>204</v>
      </c>
      <c r="E1559" s="66">
        <v>0.0</v>
      </c>
      <c r="F1559" s="66">
        <v>0.205</v>
      </c>
      <c r="G1559" s="66">
        <v>0.124</v>
      </c>
      <c r="H1559" s="66" t="s">
        <v>236</v>
      </c>
      <c r="I1559" s="81">
        <f t="shared" si="8"/>
        <v>0.6532258065</v>
      </c>
      <c r="J1559" s="81">
        <f t="shared" si="4"/>
        <v>0.6048780488</v>
      </c>
    </row>
    <row r="1560">
      <c r="A1560" s="82">
        <v>44769.0</v>
      </c>
      <c r="B1560" s="66">
        <v>2380.0</v>
      </c>
      <c r="C1560" s="66">
        <v>2.0</v>
      </c>
      <c r="D1560" s="66" t="s">
        <v>205</v>
      </c>
      <c r="F1560" s="66">
        <v>1.277</v>
      </c>
      <c r="G1560" s="66">
        <v>0.827</v>
      </c>
      <c r="H1560" s="66" t="s">
        <v>237</v>
      </c>
      <c r="I1560" s="81">
        <f t="shared" si="8"/>
        <v>0.5441354293</v>
      </c>
      <c r="J1560" s="81">
        <f t="shared" si="4"/>
        <v>0.6476115897</v>
      </c>
    </row>
    <row r="1561">
      <c r="A1561" s="82">
        <v>44769.0</v>
      </c>
      <c r="B1561" s="66">
        <v>2380.0</v>
      </c>
      <c r="C1561" s="66">
        <v>2.0</v>
      </c>
      <c r="D1561" s="66" t="s">
        <v>204</v>
      </c>
      <c r="F1561" s="66">
        <v>0.404</v>
      </c>
      <c r="G1561" s="66">
        <v>0.247</v>
      </c>
      <c r="H1561" s="66" t="s">
        <v>237</v>
      </c>
      <c r="I1561" s="81">
        <f t="shared" si="8"/>
        <v>0.6356275304</v>
      </c>
      <c r="J1561" s="81">
        <f t="shared" si="4"/>
        <v>0.6113861386</v>
      </c>
    </row>
    <row r="1562">
      <c r="A1562" s="82">
        <v>44769.0</v>
      </c>
      <c r="B1562" s="66">
        <v>2345.0</v>
      </c>
      <c r="C1562" s="66">
        <v>2.0</v>
      </c>
      <c r="D1562" s="66" t="s">
        <v>205</v>
      </c>
      <c r="E1562" s="66">
        <v>0.0</v>
      </c>
      <c r="F1562" s="66">
        <v>1.368</v>
      </c>
      <c r="G1562" s="66">
        <v>0.818</v>
      </c>
      <c r="H1562" s="66" t="s">
        <v>237</v>
      </c>
      <c r="I1562" s="81">
        <f t="shared" si="8"/>
        <v>0.6723716381</v>
      </c>
      <c r="J1562" s="81">
        <f t="shared" si="4"/>
        <v>0.5979532164</v>
      </c>
    </row>
    <row r="1563">
      <c r="A1563" s="82">
        <v>44769.0</v>
      </c>
      <c r="B1563" s="66">
        <v>2345.0</v>
      </c>
      <c r="C1563" s="66">
        <v>2.0</v>
      </c>
      <c r="D1563" s="66" t="s">
        <v>204</v>
      </c>
      <c r="E1563" s="66">
        <v>0.0</v>
      </c>
      <c r="F1563" s="66">
        <v>0.076</v>
      </c>
      <c r="G1563" s="66">
        <v>0.042</v>
      </c>
      <c r="H1563" s="66" t="s">
        <v>237</v>
      </c>
      <c r="I1563" s="81">
        <f t="shared" si="8"/>
        <v>0.8095238095</v>
      </c>
      <c r="J1563" s="81">
        <f t="shared" si="4"/>
        <v>0.5526315789</v>
      </c>
    </row>
    <row r="1564">
      <c r="A1564" s="82">
        <v>44769.0</v>
      </c>
      <c r="B1564" s="66">
        <v>2376.0</v>
      </c>
      <c r="C1564" s="66">
        <v>2.0</v>
      </c>
      <c r="D1564" s="66" t="s">
        <v>205</v>
      </c>
      <c r="E1564" s="66">
        <v>1.0</v>
      </c>
      <c r="F1564" s="66">
        <v>1.691</v>
      </c>
      <c r="G1564" s="66">
        <v>1.063</v>
      </c>
      <c r="H1564" s="66" t="s">
        <v>237</v>
      </c>
      <c r="I1564" s="81">
        <f t="shared" si="8"/>
        <v>0.590780809</v>
      </c>
      <c r="J1564" s="81">
        <f t="shared" si="4"/>
        <v>0.6286221171</v>
      </c>
    </row>
    <row r="1565">
      <c r="A1565" s="82">
        <v>44769.0</v>
      </c>
      <c r="B1565" s="66">
        <v>2376.0</v>
      </c>
      <c r="C1565" s="66">
        <v>2.0</v>
      </c>
      <c r="D1565" s="66" t="s">
        <v>204</v>
      </c>
      <c r="E1565" s="66">
        <v>1.0</v>
      </c>
      <c r="F1565" s="66">
        <v>0.231</v>
      </c>
      <c r="G1565" s="66">
        <v>0.143</v>
      </c>
      <c r="H1565" s="66" t="s">
        <v>237</v>
      </c>
      <c r="I1565" s="81">
        <f t="shared" si="8"/>
        <v>0.6153846154</v>
      </c>
      <c r="J1565" s="81">
        <f t="shared" si="4"/>
        <v>0.619047619</v>
      </c>
    </row>
    <row r="1566">
      <c r="A1566" s="82">
        <v>44769.0</v>
      </c>
      <c r="B1566" s="66">
        <v>2379.0</v>
      </c>
      <c r="C1566" s="66">
        <v>1.0</v>
      </c>
      <c r="D1566" s="66" t="s">
        <v>205</v>
      </c>
      <c r="E1566" s="66">
        <v>0.0</v>
      </c>
      <c r="F1566" s="66">
        <v>0.911</v>
      </c>
      <c r="G1566" s="66">
        <v>0.526</v>
      </c>
      <c r="H1566" s="66" t="s">
        <v>236</v>
      </c>
      <c r="I1566" s="81">
        <f t="shared" si="8"/>
        <v>0.7319391635</v>
      </c>
      <c r="J1566" s="81">
        <f t="shared" si="4"/>
        <v>0.5773874863</v>
      </c>
    </row>
    <row r="1567">
      <c r="A1567" s="82">
        <v>44769.0</v>
      </c>
      <c r="B1567" s="66">
        <v>2379.0</v>
      </c>
      <c r="C1567" s="66">
        <v>1.0</v>
      </c>
      <c r="D1567" s="66" t="s">
        <v>204</v>
      </c>
      <c r="E1567" s="66">
        <v>0.0</v>
      </c>
      <c r="F1567" s="66">
        <v>0.068</v>
      </c>
      <c r="G1567" s="66">
        <v>0.039</v>
      </c>
      <c r="H1567" s="66" t="s">
        <v>236</v>
      </c>
      <c r="I1567" s="81">
        <f t="shared" si="8"/>
        <v>0.7435897436</v>
      </c>
      <c r="J1567" s="81">
        <f t="shared" si="4"/>
        <v>0.5735294118</v>
      </c>
    </row>
    <row r="1568">
      <c r="A1568" s="82">
        <v>44769.0</v>
      </c>
      <c r="B1568" s="66">
        <v>2343.0</v>
      </c>
      <c r="C1568" s="66">
        <v>2.0</v>
      </c>
      <c r="D1568" s="66" t="s">
        <v>205</v>
      </c>
      <c r="E1568" s="66">
        <v>0.0</v>
      </c>
      <c r="F1568" s="66">
        <v>1.158</v>
      </c>
      <c r="G1568" s="66">
        <v>0.669</v>
      </c>
      <c r="H1568" s="66" t="s">
        <v>236</v>
      </c>
      <c r="I1568" s="81">
        <f t="shared" si="8"/>
        <v>0.730941704</v>
      </c>
      <c r="J1568" s="81">
        <f t="shared" si="4"/>
        <v>0.5777202073</v>
      </c>
    </row>
    <row r="1569">
      <c r="A1569" s="82">
        <v>44769.0</v>
      </c>
      <c r="B1569" s="66">
        <v>2343.0</v>
      </c>
      <c r="C1569" s="66">
        <v>2.0</v>
      </c>
      <c r="D1569" s="66" t="s">
        <v>204</v>
      </c>
      <c r="E1569" s="66">
        <v>0.0</v>
      </c>
      <c r="F1569" s="66">
        <v>0.383</v>
      </c>
      <c r="G1569" s="66">
        <v>0.219</v>
      </c>
      <c r="H1569" s="66" t="s">
        <v>236</v>
      </c>
      <c r="I1569" s="81">
        <f t="shared" si="8"/>
        <v>0.7488584475</v>
      </c>
      <c r="J1569" s="81">
        <f t="shared" si="4"/>
        <v>0.5718015666</v>
      </c>
    </row>
    <row r="1570">
      <c r="A1570" s="82">
        <v>44769.0</v>
      </c>
      <c r="B1570" s="66">
        <v>2346.0</v>
      </c>
      <c r="C1570" s="66">
        <v>1.0</v>
      </c>
      <c r="D1570" s="66" t="s">
        <v>205</v>
      </c>
      <c r="E1570" s="66">
        <v>0.0</v>
      </c>
      <c r="F1570" s="66">
        <v>1.36</v>
      </c>
      <c r="G1570" s="66">
        <v>0.807</v>
      </c>
      <c r="H1570" s="66" t="s">
        <v>236</v>
      </c>
      <c r="I1570" s="81">
        <f t="shared" si="8"/>
        <v>0.6852540273</v>
      </c>
      <c r="J1570" s="81">
        <f t="shared" si="4"/>
        <v>0.5933823529</v>
      </c>
    </row>
    <row r="1571">
      <c r="A1571" s="82">
        <v>44769.0</v>
      </c>
      <c r="B1571" s="66">
        <v>2346.0</v>
      </c>
      <c r="C1571" s="66">
        <v>1.0</v>
      </c>
      <c r="D1571" s="66" t="s">
        <v>204</v>
      </c>
      <c r="E1571" s="66">
        <v>0.0</v>
      </c>
      <c r="F1571" s="66">
        <v>0.2</v>
      </c>
      <c r="G1571" s="66">
        <v>0.121</v>
      </c>
      <c r="H1571" s="66" t="s">
        <v>236</v>
      </c>
      <c r="I1571" s="81">
        <f t="shared" si="8"/>
        <v>0.652892562</v>
      </c>
      <c r="J1571" s="81">
        <f t="shared" si="4"/>
        <v>0.605</v>
      </c>
    </row>
    <row r="1572">
      <c r="A1572" s="82">
        <v>44769.0</v>
      </c>
      <c r="B1572" s="66">
        <v>2301.0</v>
      </c>
      <c r="C1572" s="66">
        <v>2.0</v>
      </c>
      <c r="D1572" s="66" t="s">
        <v>205</v>
      </c>
      <c r="E1572" s="66">
        <v>1.0</v>
      </c>
      <c r="F1572" s="66">
        <v>2.112</v>
      </c>
      <c r="G1572" s="66">
        <v>1.345</v>
      </c>
      <c r="H1572" s="66" t="s">
        <v>237</v>
      </c>
      <c r="I1572" s="81">
        <f t="shared" si="8"/>
        <v>0.570260223</v>
      </c>
      <c r="J1572" s="81">
        <f t="shared" si="4"/>
        <v>0.6368371212</v>
      </c>
    </row>
    <row r="1573">
      <c r="A1573" s="82">
        <v>44769.0</v>
      </c>
      <c r="B1573" s="66">
        <v>2301.0</v>
      </c>
      <c r="C1573" s="66">
        <v>2.0</v>
      </c>
      <c r="D1573" s="66" t="s">
        <v>204</v>
      </c>
      <c r="E1573" s="66">
        <v>1.0</v>
      </c>
      <c r="F1573" s="66">
        <v>0.46</v>
      </c>
      <c r="G1573" s="66">
        <v>0.278</v>
      </c>
      <c r="H1573" s="66" t="s">
        <v>237</v>
      </c>
      <c r="I1573" s="81">
        <f t="shared" si="8"/>
        <v>0.654676259</v>
      </c>
      <c r="J1573" s="81">
        <f t="shared" si="4"/>
        <v>0.6043478261</v>
      </c>
    </row>
    <row r="1574">
      <c r="A1574" s="82">
        <v>44769.0</v>
      </c>
      <c r="B1574" s="66">
        <v>2345.0</v>
      </c>
      <c r="C1574" s="66">
        <v>1.0</v>
      </c>
      <c r="D1574" s="66" t="s">
        <v>205</v>
      </c>
      <c r="E1574" s="66">
        <v>1.0</v>
      </c>
      <c r="F1574" s="66">
        <v>2.031</v>
      </c>
      <c r="G1574" s="66">
        <v>1.327</v>
      </c>
      <c r="H1574" s="66" t="s">
        <v>237</v>
      </c>
      <c r="I1574" s="81">
        <f t="shared" si="8"/>
        <v>0.5305199699</v>
      </c>
      <c r="J1574" s="81">
        <f t="shared" si="4"/>
        <v>0.6533727228</v>
      </c>
    </row>
    <row r="1575">
      <c r="A1575" s="82">
        <v>44769.0</v>
      </c>
      <c r="B1575" s="66">
        <v>2345.0</v>
      </c>
      <c r="C1575" s="66">
        <v>1.0</v>
      </c>
      <c r="D1575" s="66" t="s">
        <v>204</v>
      </c>
      <c r="E1575" s="66">
        <v>1.0</v>
      </c>
      <c r="F1575" s="66">
        <v>0.506</v>
      </c>
      <c r="G1575" s="66">
        <v>0.305</v>
      </c>
      <c r="H1575" s="66" t="s">
        <v>237</v>
      </c>
      <c r="I1575" s="81">
        <f t="shared" si="8"/>
        <v>0.6590163934</v>
      </c>
      <c r="J1575" s="81">
        <f t="shared" si="4"/>
        <v>0.6027667984</v>
      </c>
    </row>
    <row r="1576">
      <c r="A1576" s="82">
        <v>44769.0</v>
      </c>
      <c r="B1576" s="66">
        <v>2383.0</v>
      </c>
      <c r="C1576" s="66">
        <v>2.0</v>
      </c>
      <c r="D1576" s="66" t="s">
        <v>205</v>
      </c>
      <c r="E1576" s="66">
        <v>0.0</v>
      </c>
      <c r="F1576" s="66">
        <v>0.684</v>
      </c>
      <c r="G1576" s="66">
        <v>0.398</v>
      </c>
      <c r="H1576" s="66" t="s">
        <v>236</v>
      </c>
      <c r="I1576" s="81">
        <f t="shared" si="8"/>
        <v>0.7185929648</v>
      </c>
      <c r="J1576" s="81">
        <f t="shared" si="4"/>
        <v>0.581871345</v>
      </c>
    </row>
    <row r="1577">
      <c r="A1577" s="82">
        <v>44769.0</v>
      </c>
      <c r="B1577" s="66">
        <v>2383.0</v>
      </c>
      <c r="C1577" s="66">
        <v>2.0</v>
      </c>
      <c r="D1577" s="66" t="s">
        <v>204</v>
      </c>
      <c r="E1577" s="66">
        <v>0.0</v>
      </c>
      <c r="F1577" s="66">
        <v>0.091</v>
      </c>
      <c r="G1577" s="66">
        <v>0.053</v>
      </c>
      <c r="H1577" s="66" t="s">
        <v>236</v>
      </c>
      <c r="I1577" s="81">
        <f t="shared" si="8"/>
        <v>0.7169811321</v>
      </c>
      <c r="J1577" s="81">
        <f t="shared" si="4"/>
        <v>0.5824175824</v>
      </c>
    </row>
    <row r="1578">
      <c r="A1578" s="82">
        <v>44769.0</v>
      </c>
      <c r="B1578" s="66">
        <v>2301.0</v>
      </c>
      <c r="C1578" s="66">
        <v>1.0</v>
      </c>
      <c r="D1578" s="66" t="s">
        <v>205</v>
      </c>
      <c r="E1578" s="66">
        <v>1.0</v>
      </c>
      <c r="F1578" s="66">
        <v>3.308</v>
      </c>
      <c r="G1578" s="66">
        <v>2.135</v>
      </c>
      <c r="H1578" s="66" t="s">
        <v>237</v>
      </c>
      <c r="I1578" s="81">
        <f t="shared" si="8"/>
        <v>0.5494145199</v>
      </c>
      <c r="J1578" s="81">
        <f t="shared" si="4"/>
        <v>0.6454050786</v>
      </c>
    </row>
    <row r="1579">
      <c r="A1579" s="82">
        <v>44769.0</v>
      </c>
      <c r="B1579" s="66">
        <v>2301.0</v>
      </c>
      <c r="C1579" s="66">
        <v>1.0</v>
      </c>
      <c r="D1579" s="66" t="s">
        <v>204</v>
      </c>
      <c r="E1579" s="66">
        <v>1.0</v>
      </c>
      <c r="F1579" s="66">
        <v>0.718</v>
      </c>
      <c r="G1579" s="66">
        <v>0.448</v>
      </c>
      <c r="H1579" s="66" t="s">
        <v>237</v>
      </c>
      <c r="I1579" s="81">
        <f t="shared" si="8"/>
        <v>0.6026785714</v>
      </c>
      <c r="J1579" s="81">
        <f t="shared" si="4"/>
        <v>0.6239554318</v>
      </c>
    </row>
    <row r="1580">
      <c r="A1580" s="82">
        <v>44769.0</v>
      </c>
      <c r="B1580" s="66">
        <v>2331.0</v>
      </c>
      <c r="C1580" s="66">
        <v>1.0</v>
      </c>
      <c r="D1580" s="66" t="s">
        <v>205</v>
      </c>
      <c r="E1580" s="66">
        <v>1.0</v>
      </c>
      <c r="F1580" s="66">
        <v>2.101</v>
      </c>
      <c r="G1580" s="66">
        <v>1.355</v>
      </c>
      <c r="H1580" s="66" t="s">
        <v>237</v>
      </c>
      <c r="I1580" s="81">
        <f t="shared" si="8"/>
        <v>0.5505535055</v>
      </c>
      <c r="J1580" s="81">
        <f t="shared" si="4"/>
        <v>0.6449309852</v>
      </c>
    </row>
    <row r="1581">
      <c r="A1581" s="82">
        <v>44769.0</v>
      </c>
      <c r="B1581" s="66">
        <v>2331.0</v>
      </c>
      <c r="C1581" s="66">
        <v>1.0</v>
      </c>
      <c r="D1581" s="66" t="s">
        <v>204</v>
      </c>
      <c r="E1581" s="66">
        <v>1.0</v>
      </c>
      <c r="F1581" s="66">
        <v>0.645</v>
      </c>
      <c r="G1581" s="66">
        <v>0.399</v>
      </c>
      <c r="H1581" s="66" t="s">
        <v>237</v>
      </c>
      <c r="I1581" s="81">
        <f t="shared" si="8"/>
        <v>0.6165413534</v>
      </c>
      <c r="J1581" s="81">
        <f t="shared" si="4"/>
        <v>0.6186046512</v>
      </c>
    </row>
    <row r="1582">
      <c r="A1582" s="82">
        <v>44769.0</v>
      </c>
      <c r="B1582" s="66">
        <v>2370.0</v>
      </c>
      <c r="C1582" s="66">
        <v>1.0</v>
      </c>
      <c r="D1582" s="66" t="s">
        <v>205</v>
      </c>
      <c r="E1582" s="66">
        <v>0.0</v>
      </c>
      <c r="F1582" s="66">
        <v>1.036</v>
      </c>
      <c r="G1582" s="66">
        <v>0.61</v>
      </c>
      <c r="H1582" s="66" t="s">
        <v>236</v>
      </c>
      <c r="I1582" s="81">
        <f t="shared" si="8"/>
        <v>0.6983606557</v>
      </c>
      <c r="J1582" s="81">
        <f t="shared" si="4"/>
        <v>0.5888030888</v>
      </c>
    </row>
    <row r="1583">
      <c r="A1583" s="82">
        <v>44769.0</v>
      </c>
      <c r="B1583" s="66">
        <v>2370.0</v>
      </c>
      <c r="C1583" s="66">
        <v>1.0</v>
      </c>
      <c r="D1583" s="66" t="s">
        <v>204</v>
      </c>
      <c r="E1583" s="66">
        <v>0.0</v>
      </c>
      <c r="F1583" s="66">
        <v>0.111</v>
      </c>
      <c r="G1583" s="66">
        <v>0.064</v>
      </c>
      <c r="H1583" s="66" t="s">
        <v>236</v>
      </c>
      <c r="I1583" s="81">
        <f t="shared" si="8"/>
        <v>0.734375</v>
      </c>
      <c r="J1583" s="81">
        <f t="shared" si="4"/>
        <v>0.5765765766</v>
      </c>
    </row>
    <row r="1584">
      <c r="A1584" s="82">
        <v>44769.0</v>
      </c>
      <c r="B1584" s="66">
        <v>2346.0</v>
      </c>
      <c r="C1584" s="66">
        <v>2.0</v>
      </c>
      <c r="D1584" s="66" t="s">
        <v>205</v>
      </c>
      <c r="E1584" s="66">
        <v>0.0</v>
      </c>
      <c r="F1584" s="66">
        <v>1.139</v>
      </c>
      <c r="G1584" s="66">
        <v>0.674</v>
      </c>
      <c r="H1584" s="66" t="s">
        <v>236</v>
      </c>
      <c r="I1584" s="81">
        <f t="shared" si="8"/>
        <v>0.6899109792</v>
      </c>
      <c r="J1584" s="81">
        <f t="shared" si="4"/>
        <v>0.5917471466</v>
      </c>
    </row>
    <row r="1585">
      <c r="A1585" s="82">
        <v>44769.0</v>
      </c>
      <c r="B1585" s="66">
        <v>2346.0</v>
      </c>
      <c r="C1585" s="66">
        <v>2.0</v>
      </c>
      <c r="D1585" s="66" t="s">
        <v>204</v>
      </c>
      <c r="E1585" s="66">
        <v>0.0</v>
      </c>
      <c r="F1585" s="66">
        <v>0.175</v>
      </c>
      <c r="G1585" s="66">
        <v>0.106</v>
      </c>
      <c r="H1585" s="66" t="s">
        <v>236</v>
      </c>
      <c r="I1585" s="81">
        <f t="shared" si="8"/>
        <v>0.6509433962</v>
      </c>
      <c r="J1585" s="81">
        <f t="shared" si="4"/>
        <v>0.6057142857</v>
      </c>
    </row>
    <row r="1586">
      <c r="A1586" s="82">
        <v>44769.0</v>
      </c>
      <c r="B1586" s="66">
        <v>2354.0</v>
      </c>
      <c r="C1586" s="66">
        <v>1.0</v>
      </c>
      <c r="D1586" s="66" t="s">
        <v>205</v>
      </c>
      <c r="E1586" s="66">
        <v>0.0</v>
      </c>
      <c r="F1586" s="66">
        <v>1.873</v>
      </c>
      <c r="G1586" s="66">
        <v>1.095</v>
      </c>
      <c r="H1586" s="66" t="s">
        <v>237</v>
      </c>
      <c r="I1586" s="81">
        <f t="shared" si="8"/>
        <v>0.7105022831</v>
      </c>
      <c r="J1586" s="81">
        <f t="shared" si="4"/>
        <v>0.5846235985</v>
      </c>
    </row>
    <row r="1587">
      <c r="A1587" s="82">
        <v>44769.0</v>
      </c>
      <c r="B1587" s="66">
        <v>2354.0</v>
      </c>
      <c r="C1587" s="66">
        <v>1.0</v>
      </c>
      <c r="D1587" s="66" t="s">
        <v>204</v>
      </c>
      <c r="E1587" s="66">
        <v>0.0</v>
      </c>
      <c r="F1587" s="66">
        <v>0.134</v>
      </c>
      <c r="G1587" s="66">
        <v>0.07</v>
      </c>
      <c r="H1587" s="66" t="s">
        <v>237</v>
      </c>
      <c r="I1587" s="81">
        <f t="shared" si="8"/>
        <v>0.9142857143</v>
      </c>
      <c r="J1587" s="81">
        <f t="shared" si="4"/>
        <v>0.5223880597</v>
      </c>
    </row>
    <row r="1588">
      <c r="A1588" s="82">
        <v>44769.0</v>
      </c>
      <c r="B1588" s="66">
        <v>2377.0</v>
      </c>
      <c r="C1588" s="66">
        <v>1.0</v>
      </c>
      <c r="D1588" s="66" t="s">
        <v>205</v>
      </c>
      <c r="E1588" s="66">
        <v>0.0</v>
      </c>
      <c r="F1588" s="66">
        <v>0.994</v>
      </c>
      <c r="G1588" s="66">
        <v>0.592</v>
      </c>
      <c r="H1588" s="66" t="s">
        <v>237</v>
      </c>
      <c r="I1588" s="81">
        <f t="shared" si="8"/>
        <v>0.6790540541</v>
      </c>
      <c r="J1588" s="81">
        <f t="shared" si="4"/>
        <v>0.5955734406</v>
      </c>
    </row>
    <row r="1589">
      <c r="A1589" s="82">
        <v>44769.0</v>
      </c>
      <c r="B1589" s="66">
        <v>2377.0</v>
      </c>
      <c r="C1589" s="66">
        <v>1.0</v>
      </c>
      <c r="D1589" s="66" t="s">
        <v>204</v>
      </c>
      <c r="E1589" s="66">
        <v>0.0</v>
      </c>
      <c r="F1589" s="66">
        <v>0.188</v>
      </c>
      <c r="G1589" s="66">
        <v>0.105</v>
      </c>
      <c r="H1589" s="66" t="s">
        <v>237</v>
      </c>
      <c r="I1589" s="81">
        <f t="shared" si="8"/>
        <v>0.7904761905</v>
      </c>
      <c r="J1589" s="81">
        <f t="shared" si="4"/>
        <v>0.5585106383</v>
      </c>
    </row>
    <row r="1590">
      <c r="A1590" s="82">
        <v>44769.0</v>
      </c>
      <c r="B1590" s="66">
        <v>2377.0</v>
      </c>
      <c r="C1590" s="66">
        <v>1.0</v>
      </c>
      <c r="D1590" s="66" t="s">
        <v>205</v>
      </c>
      <c r="E1590" s="66">
        <v>1.0</v>
      </c>
      <c r="F1590" s="66">
        <v>2.584</v>
      </c>
      <c r="G1590" s="66">
        <v>1.66</v>
      </c>
      <c r="H1590" s="66" t="s">
        <v>237</v>
      </c>
      <c r="I1590" s="81">
        <f t="shared" si="8"/>
        <v>0.556626506</v>
      </c>
      <c r="J1590" s="81">
        <f t="shared" si="4"/>
        <v>0.6424148607</v>
      </c>
    </row>
    <row r="1591">
      <c r="A1591" s="82">
        <v>44769.0</v>
      </c>
      <c r="B1591" s="66">
        <v>2377.0</v>
      </c>
      <c r="C1591" s="66">
        <v>1.0</v>
      </c>
      <c r="D1591" s="66" t="s">
        <v>204</v>
      </c>
      <c r="E1591" s="66">
        <v>1.0</v>
      </c>
      <c r="F1591" s="66">
        <v>0.574</v>
      </c>
      <c r="G1591" s="66">
        <v>0.328</v>
      </c>
      <c r="H1591" s="66" t="s">
        <v>237</v>
      </c>
      <c r="I1591" s="81">
        <f t="shared" si="8"/>
        <v>0.75</v>
      </c>
      <c r="J1591" s="81">
        <f t="shared" si="4"/>
        <v>0.5714285714</v>
      </c>
    </row>
    <row r="1592">
      <c r="A1592" s="82">
        <v>44769.0</v>
      </c>
      <c r="B1592" s="66">
        <v>2354.0</v>
      </c>
      <c r="C1592" s="66">
        <v>0.0</v>
      </c>
      <c r="D1592" s="66" t="s">
        <v>205</v>
      </c>
      <c r="E1592" s="66">
        <v>0.0</v>
      </c>
      <c r="F1592" s="66">
        <v>0.217</v>
      </c>
      <c r="G1592" s="66">
        <v>0.133</v>
      </c>
      <c r="H1592" s="66" t="s">
        <v>237</v>
      </c>
      <c r="I1592" s="81">
        <f t="shared" si="8"/>
        <v>0.6315789474</v>
      </c>
      <c r="J1592" s="81">
        <f t="shared" si="4"/>
        <v>0.6129032258</v>
      </c>
    </row>
    <row r="1593">
      <c r="A1593" s="82">
        <v>44769.0</v>
      </c>
      <c r="B1593" s="66">
        <v>2354.0</v>
      </c>
      <c r="C1593" s="66">
        <v>0.0</v>
      </c>
      <c r="D1593" s="66" t="s">
        <v>204</v>
      </c>
      <c r="E1593" s="66">
        <v>0.0</v>
      </c>
      <c r="F1593" s="66">
        <v>0.051</v>
      </c>
      <c r="G1593" s="66">
        <v>0.028</v>
      </c>
      <c r="H1593" s="66" t="s">
        <v>237</v>
      </c>
      <c r="I1593" s="81">
        <f t="shared" si="8"/>
        <v>0.8214285714</v>
      </c>
      <c r="J1593" s="81">
        <f t="shared" si="4"/>
        <v>0.5490196078</v>
      </c>
    </row>
    <row r="1594">
      <c r="A1594" s="82">
        <v>44769.0</v>
      </c>
      <c r="B1594" s="66">
        <v>2347.0</v>
      </c>
      <c r="C1594" s="66">
        <v>1.0</v>
      </c>
      <c r="D1594" s="66" t="s">
        <v>205</v>
      </c>
      <c r="E1594" s="66">
        <v>0.0</v>
      </c>
      <c r="F1594" s="66">
        <v>1.447</v>
      </c>
      <c r="G1594" s="66">
        <v>0.831</v>
      </c>
      <c r="H1594" s="66" t="s">
        <v>236</v>
      </c>
      <c r="I1594" s="81">
        <f t="shared" si="8"/>
        <v>0.7412755716</v>
      </c>
      <c r="J1594" s="81">
        <f t="shared" si="4"/>
        <v>0.5742916379</v>
      </c>
    </row>
    <row r="1595">
      <c r="A1595" s="82">
        <v>44769.0</v>
      </c>
      <c r="B1595" s="66">
        <v>2347.0</v>
      </c>
      <c r="C1595" s="66">
        <v>1.0</v>
      </c>
      <c r="D1595" s="66" t="s">
        <v>204</v>
      </c>
      <c r="E1595" s="66">
        <v>0.0</v>
      </c>
      <c r="F1595" s="66">
        <v>0.146</v>
      </c>
      <c r="G1595" s="66">
        <v>0.089</v>
      </c>
      <c r="H1595" s="66" t="s">
        <v>236</v>
      </c>
      <c r="I1595" s="81">
        <f t="shared" si="8"/>
        <v>0.6404494382</v>
      </c>
      <c r="J1595" s="81">
        <f t="shared" si="4"/>
        <v>0.6095890411</v>
      </c>
    </row>
    <row r="1596">
      <c r="A1596" s="82">
        <v>44769.0</v>
      </c>
      <c r="B1596" s="66">
        <v>2009.0</v>
      </c>
      <c r="C1596" s="66">
        <v>1.0</v>
      </c>
      <c r="D1596" s="66" t="s">
        <v>205</v>
      </c>
      <c r="E1596" s="66">
        <v>0.0</v>
      </c>
      <c r="F1596" s="66">
        <v>1.511</v>
      </c>
      <c r="G1596" s="66">
        <v>0.908</v>
      </c>
      <c r="H1596" s="66" t="s">
        <v>236</v>
      </c>
      <c r="I1596" s="81">
        <f t="shared" si="8"/>
        <v>0.6640969163</v>
      </c>
      <c r="J1596" s="81">
        <f t="shared" si="4"/>
        <v>0.6009265387</v>
      </c>
    </row>
    <row r="1597">
      <c r="A1597" s="82">
        <v>44769.0</v>
      </c>
      <c r="B1597" s="66">
        <v>2009.0</v>
      </c>
      <c r="C1597" s="66">
        <v>1.0</v>
      </c>
      <c r="D1597" s="66" t="s">
        <v>204</v>
      </c>
      <c r="E1597" s="66">
        <v>0.0</v>
      </c>
      <c r="F1597" s="66">
        <v>0.097</v>
      </c>
      <c r="G1597" s="66">
        <v>0.059</v>
      </c>
      <c r="H1597" s="66" t="s">
        <v>236</v>
      </c>
      <c r="I1597" s="81">
        <f t="shared" si="8"/>
        <v>0.6440677966</v>
      </c>
      <c r="J1597" s="81">
        <f t="shared" si="4"/>
        <v>0.6082474227</v>
      </c>
    </row>
    <row r="1598">
      <c r="A1598" s="82">
        <v>44769.0</v>
      </c>
      <c r="B1598" s="66">
        <v>2375.0</v>
      </c>
      <c r="C1598" s="66">
        <v>1.0</v>
      </c>
      <c r="D1598" s="66" t="s">
        <v>205</v>
      </c>
      <c r="E1598" s="66">
        <v>0.0</v>
      </c>
      <c r="F1598" s="66">
        <v>2.628</v>
      </c>
      <c r="G1598" s="66">
        <v>1.492</v>
      </c>
      <c r="H1598" s="66" t="s">
        <v>236</v>
      </c>
      <c r="I1598" s="81">
        <f t="shared" si="8"/>
        <v>0.7613941019</v>
      </c>
      <c r="J1598" s="81">
        <f t="shared" si="4"/>
        <v>0.5677321157</v>
      </c>
    </row>
    <row r="1599">
      <c r="A1599" s="82">
        <v>44769.0</v>
      </c>
      <c r="B1599" s="66">
        <v>2375.0</v>
      </c>
      <c r="C1599" s="66">
        <v>1.0</v>
      </c>
      <c r="D1599" s="66" t="s">
        <v>204</v>
      </c>
      <c r="E1599" s="66">
        <v>0.0</v>
      </c>
      <c r="F1599" s="66">
        <v>0.848</v>
      </c>
      <c r="G1599" s="66">
        <v>0.49</v>
      </c>
      <c r="H1599" s="66" t="s">
        <v>236</v>
      </c>
      <c r="I1599" s="81">
        <f t="shared" si="8"/>
        <v>0.7306122449</v>
      </c>
      <c r="J1599" s="81">
        <f t="shared" si="4"/>
        <v>0.5778301887</v>
      </c>
    </row>
    <row r="1600">
      <c r="A1600" s="82">
        <v>44769.0</v>
      </c>
      <c r="B1600" s="66">
        <v>2372.0</v>
      </c>
      <c r="C1600" s="66">
        <v>1.0</v>
      </c>
      <c r="D1600" s="66" t="s">
        <v>205</v>
      </c>
      <c r="E1600" s="66">
        <v>0.0</v>
      </c>
      <c r="F1600" s="66">
        <v>2.13</v>
      </c>
      <c r="G1600" s="66">
        <v>1.256</v>
      </c>
      <c r="H1600" s="66" t="s">
        <v>236</v>
      </c>
      <c r="I1600" s="81">
        <f t="shared" si="8"/>
        <v>0.6958598726</v>
      </c>
      <c r="J1600" s="81">
        <f t="shared" si="4"/>
        <v>0.5896713615</v>
      </c>
    </row>
    <row r="1601">
      <c r="A1601" s="82">
        <v>44769.0</v>
      </c>
      <c r="B1601" s="66">
        <v>2372.0</v>
      </c>
      <c r="C1601" s="66">
        <v>1.0</v>
      </c>
      <c r="D1601" s="66" t="s">
        <v>204</v>
      </c>
      <c r="E1601" s="66">
        <v>0.0</v>
      </c>
      <c r="F1601" s="66">
        <v>0.42</v>
      </c>
      <c r="G1601" s="66">
        <v>0.256</v>
      </c>
      <c r="H1601" s="66" t="s">
        <v>236</v>
      </c>
      <c r="I1601" s="81">
        <f t="shared" si="8"/>
        <v>0.640625</v>
      </c>
      <c r="J1601" s="81">
        <f t="shared" si="4"/>
        <v>0.6095238095</v>
      </c>
    </row>
    <row r="1602">
      <c r="A1602" s="82">
        <v>44769.0</v>
      </c>
      <c r="B1602" s="66">
        <v>2377.0</v>
      </c>
      <c r="C1602" s="66">
        <v>2.0</v>
      </c>
      <c r="D1602" s="66" t="s">
        <v>205</v>
      </c>
      <c r="E1602" s="66">
        <v>1.0</v>
      </c>
      <c r="F1602" s="66">
        <v>1.012</v>
      </c>
      <c r="G1602" s="66">
        <v>0.649</v>
      </c>
      <c r="H1602" s="66" t="s">
        <v>237</v>
      </c>
      <c r="I1602" s="81">
        <f t="shared" si="8"/>
        <v>0.5593220339</v>
      </c>
      <c r="J1602" s="81">
        <f t="shared" si="4"/>
        <v>0.6413043478</v>
      </c>
    </row>
    <row r="1603">
      <c r="A1603" s="82">
        <v>44769.0</v>
      </c>
      <c r="B1603" s="66">
        <v>2377.0</v>
      </c>
      <c r="C1603" s="66">
        <v>2.0</v>
      </c>
      <c r="D1603" s="66" t="s">
        <v>204</v>
      </c>
      <c r="E1603" s="66">
        <v>1.0</v>
      </c>
      <c r="F1603" s="66">
        <v>0.323</v>
      </c>
      <c r="G1603" s="66">
        <v>0.192</v>
      </c>
      <c r="H1603" s="66" t="s">
        <v>237</v>
      </c>
      <c r="I1603" s="81">
        <f t="shared" si="8"/>
        <v>0.6822916667</v>
      </c>
      <c r="J1603" s="81">
        <f t="shared" si="4"/>
        <v>0.5944272446</v>
      </c>
    </row>
    <row r="1604">
      <c r="A1604" s="82">
        <v>44769.0</v>
      </c>
      <c r="B1604" s="66">
        <v>2347.0</v>
      </c>
      <c r="C1604" s="66">
        <v>2.0</v>
      </c>
      <c r="D1604" s="66" t="s">
        <v>205</v>
      </c>
      <c r="E1604" s="66">
        <v>0.0</v>
      </c>
      <c r="F1604" s="66">
        <v>2.411</v>
      </c>
      <c r="G1604" s="66">
        <v>1.368</v>
      </c>
      <c r="H1604" s="66" t="s">
        <v>236</v>
      </c>
      <c r="I1604" s="81">
        <f t="shared" si="8"/>
        <v>0.7624269006</v>
      </c>
      <c r="J1604" s="81">
        <f t="shared" si="4"/>
        <v>0.5673994193</v>
      </c>
    </row>
    <row r="1605">
      <c r="A1605" s="82">
        <v>44769.0</v>
      </c>
      <c r="B1605" s="66">
        <v>2347.0</v>
      </c>
      <c r="C1605" s="66">
        <v>2.0</v>
      </c>
      <c r="D1605" s="66" t="s">
        <v>204</v>
      </c>
      <c r="E1605" s="66">
        <v>0.0</v>
      </c>
      <c r="F1605" s="66">
        <v>0.208</v>
      </c>
      <c r="G1605" s="66">
        <v>0.126</v>
      </c>
      <c r="H1605" s="66" t="s">
        <v>236</v>
      </c>
      <c r="I1605" s="81">
        <f t="shared" si="8"/>
        <v>0.6507936508</v>
      </c>
      <c r="J1605" s="81">
        <f t="shared" si="4"/>
        <v>0.6057692308</v>
      </c>
    </row>
    <row r="1606">
      <c r="A1606" s="82">
        <v>44769.0</v>
      </c>
      <c r="B1606" s="66">
        <v>2378.0</v>
      </c>
      <c r="C1606" s="66">
        <v>2.0</v>
      </c>
      <c r="D1606" s="66" t="s">
        <v>205</v>
      </c>
      <c r="E1606" s="66">
        <v>0.0</v>
      </c>
      <c r="F1606" s="66">
        <v>0.656</v>
      </c>
      <c r="G1606" s="66">
        <v>0.366</v>
      </c>
      <c r="H1606" s="66" t="s">
        <v>236</v>
      </c>
      <c r="I1606" s="81">
        <f t="shared" si="8"/>
        <v>0.7923497268</v>
      </c>
      <c r="J1606" s="81">
        <f t="shared" si="4"/>
        <v>0.5579268293</v>
      </c>
    </row>
    <row r="1607">
      <c r="A1607" s="82">
        <v>44769.0</v>
      </c>
      <c r="B1607" s="66">
        <v>2378.0</v>
      </c>
      <c r="C1607" s="66">
        <v>2.0</v>
      </c>
      <c r="D1607" s="66" t="s">
        <v>204</v>
      </c>
      <c r="E1607" s="66">
        <v>0.0</v>
      </c>
      <c r="F1607" s="66">
        <v>0.081</v>
      </c>
      <c r="G1607" s="66">
        <v>0.047</v>
      </c>
      <c r="H1607" s="66" t="s">
        <v>236</v>
      </c>
      <c r="I1607" s="81">
        <f t="shared" si="8"/>
        <v>0.7234042553</v>
      </c>
      <c r="J1607" s="81">
        <f t="shared" si="4"/>
        <v>0.5802469136</v>
      </c>
    </row>
    <row r="1608">
      <c r="A1608" s="82">
        <v>44769.0</v>
      </c>
      <c r="B1608" s="66">
        <v>2376.0</v>
      </c>
      <c r="C1608" s="66">
        <v>1.0</v>
      </c>
      <c r="D1608" s="66" t="s">
        <v>205</v>
      </c>
      <c r="E1608" s="66">
        <v>1.0</v>
      </c>
      <c r="F1608" s="66">
        <v>2.216</v>
      </c>
      <c r="G1608" s="66">
        <v>1.407</v>
      </c>
      <c r="H1608" s="66" t="s">
        <v>237</v>
      </c>
      <c r="I1608" s="81">
        <f t="shared" si="8"/>
        <v>0.5749822317</v>
      </c>
      <c r="J1608" s="81">
        <f t="shared" si="4"/>
        <v>0.6349277978</v>
      </c>
    </row>
    <row r="1609">
      <c r="A1609" s="82">
        <v>44769.0</v>
      </c>
      <c r="B1609" s="66">
        <v>2376.0</v>
      </c>
      <c r="C1609" s="66">
        <v>1.0</v>
      </c>
      <c r="D1609" s="66" t="s">
        <v>204</v>
      </c>
      <c r="E1609" s="66">
        <v>1.0</v>
      </c>
      <c r="F1609" s="66">
        <v>0.297</v>
      </c>
      <c r="G1609" s="66">
        <v>0.183</v>
      </c>
      <c r="H1609" s="66" t="s">
        <v>237</v>
      </c>
      <c r="I1609" s="81">
        <f t="shared" si="8"/>
        <v>0.6229508197</v>
      </c>
      <c r="J1609" s="81">
        <f t="shared" si="4"/>
        <v>0.6161616162</v>
      </c>
    </row>
    <row r="1610">
      <c r="A1610" s="82">
        <v>44769.0</v>
      </c>
      <c r="B1610" s="66">
        <v>2367.0</v>
      </c>
      <c r="C1610" s="66">
        <v>1.0</v>
      </c>
      <c r="D1610" s="66" t="s">
        <v>205</v>
      </c>
      <c r="E1610" s="66">
        <v>0.0</v>
      </c>
      <c r="F1610" s="66">
        <v>1.168</v>
      </c>
      <c r="G1610" s="66">
        <v>0.701</v>
      </c>
      <c r="H1610" s="66" t="s">
        <v>236</v>
      </c>
      <c r="I1610" s="81">
        <f t="shared" si="8"/>
        <v>0.6661911555</v>
      </c>
      <c r="J1610" s="81">
        <f t="shared" si="4"/>
        <v>0.6001712329</v>
      </c>
    </row>
    <row r="1611">
      <c r="A1611" s="82">
        <v>44769.0</v>
      </c>
      <c r="B1611" s="66">
        <v>2367.0</v>
      </c>
      <c r="C1611" s="66">
        <v>1.0</v>
      </c>
      <c r="D1611" s="66" t="s">
        <v>204</v>
      </c>
      <c r="E1611" s="66">
        <v>0.0</v>
      </c>
      <c r="F1611" s="66">
        <v>0.111</v>
      </c>
      <c r="G1611" s="66">
        <v>0.068</v>
      </c>
      <c r="H1611" s="66" t="s">
        <v>236</v>
      </c>
      <c r="I1611" s="81">
        <f t="shared" si="8"/>
        <v>0.6323529412</v>
      </c>
      <c r="J1611" s="81">
        <f t="shared" si="4"/>
        <v>0.6126126126</v>
      </c>
    </row>
    <row r="1612">
      <c r="A1612" s="82">
        <v>44769.0</v>
      </c>
      <c r="B1612" s="66">
        <v>2371.0</v>
      </c>
      <c r="C1612" s="66">
        <v>2.0</v>
      </c>
      <c r="D1612" s="66" t="s">
        <v>205</v>
      </c>
      <c r="E1612" s="66">
        <v>0.0</v>
      </c>
      <c r="F1612" s="66">
        <v>0.793</v>
      </c>
      <c r="G1612" s="66">
        <v>0.465</v>
      </c>
      <c r="H1612" s="66" t="s">
        <v>236</v>
      </c>
      <c r="I1612" s="81">
        <f t="shared" si="8"/>
        <v>0.7053763441</v>
      </c>
      <c r="J1612" s="81">
        <f t="shared" si="4"/>
        <v>0.5863808323</v>
      </c>
    </row>
    <row r="1613">
      <c r="A1613" s="82">
        <v>44769.0</v>
      </c>
      <c r="B1613" s="66">
        <v>2371.0</v>
      </c>
      <c r="C1613" s="66">
        <v>2.0</v>
      </c>
      <c r="D1613" s="66" t="s">
        <v>204</v>
      </c>
      <c r="E1613" s="66">
        <v>0.0</v>
      </c>
      <c r="F1613" s="66">
        <v>0.068</v>
      </c>
      <c r="G1613" s="66">
        <v>0.039</v>
      </c>
      <c r="H1613" s="66" t="s">
        <v>236</v>
      </c>
      <c r="I1613" s="81">
        <f t="shared" si="8"/>
        <v>0.7435897436</v>
      </c>
      <c r="J1613" s="81">
        <f t="shared" si="4"/>
        <v>0.5735294118</v>
      </c>
    </row>
    <row r="1614">
      <c r="A1614" s="82">
        <v>44769.0</v>
      </c>
      <c r="B1614" s="66">
        <v>2384.0</v>
      </c>
      <c r="C1614" s="66">
        <v>2.0</v>
      </c>
      <c r="D1614" s="66" t="s">
        <v>205</v>
      </c>
      <c r="E1614" s="66">
        <v>0.0</v>
      </c>
      <c r="F1614" s="66">
        <v>0.826</v>
      </c>
      <c r="G1614" s="66">
        <v>0.49</v>
      </c>
      <c r="H1614" s="66" t="s">
        <v>236</v>
      </c>
      <c r="I1614" s="81">
        <f t="shared" si="8"/>
        <v>0.6857142857</v>
      </c>
      <c r="J1614" s="81">
        <f t="shared" si="4"/>
        <v>0.593220339</v>
      </c>
    </row>
    <row r="1615">
      <c r="A1615" s="82">
        <v>44769.0</v>
      </c>
      <c r="B1615" s="66">
        <v>2384.0</v>
      </c>
      <c r="C1615" s="66">
        <v>2.0</v>
      </c>
      <c r="D1615" s="66" t="s">
        <v>204</v>
      </c>
      <c r="E1615" s="66">
        <v>0.0</v>
      </c>
      <c r="F1615" s="66">
        <v>0.105</v>
      </c>
      <c r="G1615" s="66">
        <v>0.065</v>
      </c>
      <c r="H1615" s="66" t="s">
        <v>236</v>
      </c>
      <c r="I1615" s="81">
        <f t="shared" si="8"/>
        <v>0.6153846154</v>
      </c>
      <c r="J1615" s="81">
        <f t="shared" si="4"/>
        <v>0.619047619</v>
      </c>
    </row>
    <row r="1616">
      <c r="A1616" s="82">
        <v>44769.0</v>
      </c>
      <c r="B1616" s="66">
        <v>2360.0</v>
      </c>
      <c r="C1616" s="66">
        <v>1.0</v>
      </c>
      <c r="D1616" s="66" t="s">
        <v>205</v>
      </c>
      <c r="E1616" s="66">
        <v>0.0</v>
      </c>
      <c r="F1616" s="66">
        <v>0.638</v>
      </c>
      <c r="G1616" s="66">
        <v>0.359</v>
      </c>
      <c r="H1616" s="66" t="s">
        <v>236</v>
      </c>
      <c r="I1616" s="81">
        <f t="shared" si="8"/>
        <v>0.7771587744</v>
      </c>
      <c r="J1616" s="81">
        <f t="shared" si="4"/>
        <v>0.5626959248</v>
      </c>
    </row>
    <row r="1617">
      <c r="A1617" s="82">
        <v>44769.0</v>
      </c>
      <c r="B1617" s="66">
        <v>2360.0</v>
      </c>
      <c r="C1617" s="66">
        <v>1.0</v>
      </c>
      <c r="D1617" s="66" t="s">
        <v>204</v>
      </c>
      <c r="E1617" s="66">
        <v>0.0</v>
      </c>
      <c r="F1617" s="66">
        <v>0.087</v>
      </c>
      <c r="G1617" s="66">
        <v>0.054</v>
      </c>
      <c r="H1617" s="66" t="s">
        <v>236</v>
      </c>
      <c r="I1617" s="81">
        <f t="shared" si="8"/>
        <v>0.6111111111</v>
      </c>
      <c r="J1617" s="81">
        <f t="shared" si="4"/>
        <v>0.6206896552</v>
      </c>
    </row>
    <row r="1618">
      <c r="A1618" s="82">
        <v>44769.0</v>
      </c>
      <c r="B1618" s="66">
        <v>2354.0</v>
      </c>
      <c r="C1618" s="66">
        <v>2.0</v>
      </c>
      <c r="D1618" s="66" t="s">
        <v>205</v>
      </c>
      <c r="E1618" s="66">
        <v>1.0</v>
      </c>
      <c r="F1618" s="66">
        <v>1.371</v>
      </c>
      <c r="G1618" s="66">
        <v>0.898</v>
      </c>
      <c r="H1618" s="66" t="s">
        <v>237</v>
      </c>
      <c r="I1618" s="81">
        <f t="shared" si="8"/>
        <v>0.5267260579</v>
      </c>
      <c r="J1618" s="81">
        <f t="shared" si="4"/>
        <v>0.654996353</v>
      </c>
    </row>
    <row r="1619">
      <c r="A1619" s="82">
        <v>44769.0</v>
      </c>
      <c r="B1619" s="66">
        <v>2354.0</v>
      </c>
      <c r="C1619" s="66">
        <v>2.0</v>
      </c>
      <c r="D1619" s="66" t="s">
        <v>204</v>
      </c>
      <c r="E1619" s="66">
        <v>1.0</v>
      </c>
      <c r="F1619" s="66">
        <v>0.494</v>
      </c>
      <c r="G1619" s="66">
        <v>0.284</v>
      </c>
      <c r="H1619" s="66" t="s">
        <v>237</v>
      </c>
      <c r="I1619" s="81">
        <f t="shared" si="8"/>
        <v>0.7394366197</v>
      </c>
      <c r="J1619" s="81">
        <f t="shared" si="4"/>
        <v>0.5748987854</v>
      </c>
    </row>
    <row r="1620">
      <c r="A1620" s="82">
        <v>44769.0</v>
      </c>
      <c r="B1620" s="66">
        <v>2369.0</v>
      </c>
      <c r="C1620" s="66">
        <v>1.0</v>
      </c>
      <c r="D1620" s="66" t="s">
        <v>205</v>
      </c>
      <c r="E1620" s="66">
        <v>0.0</v>
      </c>
      <c r="F1620" s="66">
        <v>2.417</v>
      </c>
      <c r="G1620" s="66">
        <v>1.431</v>
      </c>
      <c r="H1620" s="66" t="s">
        <v>236</v>
      </c>
      <c r="I1620" s="81">
        <f t="shared" si="8"/>
        <v>0.6890286513</v>
      </c>
      <c r="J1620" s="81">
        <f t="shared" si="4"/>
        <v>0.5920562681</v>
      </c>
    </row>
    <row r="1621">
      <c r="A1621" s="82">
        <v>44769.0</v>
      </c>
      <c r="B1621" s="66">
        <v>2369.0</v>
      </c>
      <c r="C1621" s="66">
        <v>1.0</v>
      </c>
      <c r="D1621" s="66" t="s">
        <v>204</v>
      </c>
      <c r="E1621" s="66">
        <v>0.0</v>
      </c>
      <c r="F1621" s="66">
        <v>0.199</v>
      </c>
      <c r="G1621" s="66">
        <v>0.124</v>
      </c>
      <c r="H1621" s="66" t="s">
        <v>236</v>
      </c>
      <c r="I1621" s="81">
        <f t="shared" si="8"/>
        <v>0.6048387097</v>
      </c>
      <c r="J1621" s="81">
        <f t="shared" si="4"/>
        <v>0.6231155779</v>
      </c>
    </row>
    <row r="1622">
      <c r="A1622" s="82">
        <v>44769.0</v>
      </c>
      <c r="B1622" s="66">
        <v>2381.0</v>
      </c>
      <c r="C1622" s="66">
        <v>1.0</v>
      </c>
      <c r="D1622" s="66" t="s">
        <v>205</v>
      </c>
      <c r="E1622" s="66">
        <v>0.0</v>
      </c>
      <c r="F1622" s="66">
        <v>1.522</v>
      </c>
      <c r="G1622" s="66">
        <v>0.865</v>
      </c>
      <c r="H1622" s="66" t="s">
        <v>236</v>
      </c>
      <c r="I1622" s="81">
        <f t="shared" si="8"/>
        <v>0.7595375723</v>
      </c>
      <c r="J1622" s="81">
        <f t="shared" si="4"/>
        <v>0.5683311432</v>
      </c>
    </row>
    <row r="1623">
      <c r="A1623" s="82">
        <v>44769.0</v>
      </c>
      <c r="B1623" s="66">
        <v>2381.0</v>
      </c>
      <c r="C1623" s="66">
        <v>1.0</v>
      </c>
      <c r="D1623" s="66" t="s">
        <v>204</v>
      </c>
      <c r="E1623" s="66">
        <v>0.0</v>
      </c>
      <c r="F1623" s="66">
        <v>0.287</v>
      </c>
      <c r="G1623" s="66">
        <v>0.168</v>
      </c>
      <c r="H1623" s="66" t="s">
        <v>236</v>
      </c>
      <c r="I1623" s="81">
        <f t="shared" si="8"/>
        <v>0.7083333333</v>
      </c>
      <c r="J1623" s="81">
        <f t="shared" si="4"/>
        <v>0.5853658537</v>
      </c>
    </row>
    <row r="1624">
      <c r="A1624" s="82">
        <v>44769.0</v>
      </c>
      <c r="B1624" s="66">
        <v>2352.0</v>
      </c>
      <c r="C1624" s="66">
        <v>1.0</v>
      </c>
      <c r="D1624" s="66" t="s">
        <v>205</v>
      </c>
      <c r="E1624" s="66">
        <v>0.0</v>
      </c>
      <c r="F1624" s="66">
        <v>0.785</v>
      </c>
      <c r="G1624" s="66">
        <v>0.48</v>
      </c>
      <c r="H1624" s="66" t="s">
        <v>237</v>
      </c>
      <c r="I1624" s="81">
        <f t="shared" si="8"/>
        <v>0.6354166667</v>
      </c>
      <c r="J1624" s="81">
        <f t="shared" si="4"/>
        <v>0.6114649682</v>
      </c>
    </row>
    <row r="1625">
      <c r="A1625" s="82">
        <v>44769.0</v>
      </c>
      <c r="B1625" s="66">
        <v>2352.0</v>
      </c>
      <c r="C1625" s="66">
        <v>1.0</v>
      </c>
      <c r="D1625" s="66" t="s">
        <v>204</v>
      </c>
      <c r="E1625" s="66">
        <v>0.0</v>
      </c>
      <c r="F1625" s="66">
        <v>0.114</v>
      </c>
      <c r="G1625" s="66">
        <v>0.064</v>
      </c>
      <c r="H1625" s="66" t="s">
        <v>237</v>
      </c>
      <c r="I1625" s="81">
        <f t="shared" si="8"/>
        <v>0.78125</v>
      </c>
      <c r="J1625" s="81">
        <f t="shared" si="4"/>
        <v>0.5614035088</v>
      </c>
    </row>
    <row r="1626">
      <c r="A1626" s="82">
        <v>44769.0</v>
      </c>
      <c r="B1626" s="66">
        <v>2382.0</v>
      </c>
      <c r="C1626" s="66">
        <v>2.0</v>
      </c>
      <c r="D1626" s="66" t="s">
        <v>205</v>
      </c>
      <c r="E1626" s="66">
        <v>0.0</v>
      </c>
      <c r="F1626" s="66">
        <v>1.573</v>
      </c>
      <c r="G1626" s="66">
        <v>0.943</v>
      </c>
      <c r="H1626" s="66" t="s">
        <v>236</v>
      </c>
      <c r="I1626" s="81">
        <f t="shared" si="8"/>
        <v>0.6680805938</v>
      </c>
      <c r="J1626" s="81">
        <f t="shared" si="4"/>
        <v>0.5994914177</v>
      </c>
    </row>
    <row r="1627">
      <c r="A1627" s="82">
        <v>44769.0</v>
      </c>
      <c r="B1627" s="66">
        <v>2382.0</v>
      </c>
      <c r="C1627" s="66">
        <v>2.0</v>
      </c>
      <c r="D1627" s="66" t="s">
        <v>204</v>
      </c>
      <c r="E1627" s="66">
        <v>0.0</v>
      </c>
      <c r="F1627" s="66">
        <v>0.082</v>
      </c>
      <c r="G1627" s="66">
        <v>0.05</v>
      </c>
      <c r="H1627" s="66" t="s">
        <v>236</v>
      </c>
      <c r="I1627" s="81">
        <f t="shared" si="8"/>
        <v>0.64</v>
      </c>
      <c r="J1627" s="81">
        <f t="shared" si="4"/>
        <v>0.6097560976</v>
      </c>
    </row>
    <row r="1628">
      <c r="A1628" s="82">
        <v>44769.0</v>
      </c>
      <c r="B1628" s="66">
        <v>2345.0</v>
      </c>
      <c r="C1628" s="66">
        <v>2.0</v>
      </c>
      <c r="D1628" s="66" t="s">
        <v>205</v>
      </c>
      <c r="E1628" s="66">
        <v>1.0</v>
      </c>
      <c r="F1628" s="66">
        <v>1.419</v>
      </c>
      <c r="G1628" s="66">
        <v>0.914</v>
      </c>
      <c r="H1628" s="66" t="s">
        <v>237</v>
      </c>
      <c r="I1628" s="81">
        <f t="shared" si="8"/>
        <v>0.5525164114</v>
      </c>
      <c r="J1628" s="81">
        <f t="shared" si="4"/>
        <v>0.6441155743</v>
      </c>
    </row>
    <row r="1629">
      <c r="A1629" s="82">
        <v>44769.0</v>
      </c>
      <c r="B1629" s="66">
        <v>2345.0</v>
      </c>
      <c r="C1629" s="66">
        <v>2.0</v>
      </c>
      <c r="D1629" s="66" t="s">
        <v>204</v>
      </c>
      <c r="E1629" s="66">
        <v>1.0</v>
      </c>
      <c r="F1629" s="66">
        <v>0.371</v>
      </c>
      <c r="G1629" s="66">
        <v>0.225</v>
      </c>
      <c r="H1629" s="66" t="s">
        <v>237</v>
      </c>
      <c r="I1629" s="81">
        <f t="shared" si="8"/>
        <v>0.6488888889</v>
      </c>
      <c r="J1629" s="81">
        <f t="shared" si="4"/>
        <v>0.6064690027</v>
      </c>
    </row>
    <row r="1630">
      <c r="A1630" s="82">
        <v>44769.0</v>
      </c>
      <c r="B1630" s="66">
        <v>2011.0</v>
      </c>
      <c r="C1630" s="66">
        <v>1.0</v>
      </c>
      <c r="D1630" s="66" t="s">
        <v>205</v>
      </c>
      <c r="E1630" s="66">
        <v>0.0</v>
      </c>
      <c r="F1630" s="66">
        <v>1.748</v>
      </c>
      <c r="G1630" s="66">
        <v>1.029</v>
      </c>
      <c r="H1630" s="66" t="s">
        <v>236</v>
      </c>
      <c r="I1630" s="81">
        <f t="shared" si="8"/>
        <v>0.6987366375</v>
      </c>
      <c r="J1630" s="81">
        <f t="shared" si="4"/>
        <v>0.5886727689</v>
      </c>
    </row>
    <row r="1631">
      <c r="A1631" s="82">
        <v>44769.0</v>
      </c>
      <c r="B1631" s="66">
        <v>2011.0</v>
      </c>
      <c r="C1631" s="66">
        <v>1.0</v>
      </c>
      <c r="D1631" s="66" t="s">
        <v>204</v>
      </c>
      <c r="E1631" s="66">
        <v>0.0</v>
      </c>
      <c r="F1631" s="66">
        <v>0.301</v>
      </c>
      <c r="G1631" s="66">
        <v>0.17</v>
      </c>
      <c r="H1631" s="66" t="s">
        <v>236</v>
      </c>
      <c r="I1631" s="81">
        <f t="shared" si="8"/>
        <v>0.7705882353</v>
      </c>
      <c r="J1631" s="81">
        <f t="shared" si="4"/>
        <v>0.5647840532</v>
      </c>
    </row>
    <row r="1632">
      <c r="A1632" s="82">
        <v>44769.0</v>
      </c>
      <c r="B1632" s="66">
        <v>2331.0</v>
      </c>
      <c r="C1632" s="66">
        <v>2.0</v>
      </c>
      <c r="D1632" s="66" t="s">
        <v>205</v>
      </c>
      <c r="E1632" s="66">
        <v>1.0</v>
      </c>
      <c r="F1632" s="66">
        <v>1.1</v>
      </c>
      <c r="G1632" s="66">
        <v>0.723</v>
      </c>
      <c r="H1632" s="66" t="s">
        <v>237</v>
      </c>
      <c r="I1632" s="81">
        <f t="shared" si="8"/>
        <v>0.5214384509</v>
      </c>
      <c r="J1632" s="81">
        <f t="shared" si="4"/>
        <v>0.6572727273</v>
      </c>
    </row>
    <row r="1633">
      <c r="A1633" s="82">
        <v>44769.0</v>
      </c>
      <c r="B1633" s="66">
        <v>2331.0</v>
      </c>
      <c r="C1633" s="66">
        <v>2.0</v>
      </c>
      <c r="D1633" s="66" t="s">
        <v>204</v>
      </c>
      <c r="E1633" s="66">
        <v>1.0</v>
      </c>
      <c r="F1633" s="66">
        <v>0.453</v>
      </c>
      <c r="G1633" s="66">
        <v>0.289</v>
      </c>
      <c r="H1633" s="66" t="s">
        <v>237</v>
      </c>
      <c r="I1633" s="81">
        <f t="shared" si="8"/>
        <v>0.5674740484</v>
      </c>
      <c r="J1633" s="81">
        <f t="shared" si="4"/>
        <v>0.6379690949</v>
      </c>
    </row>
    <row r="1634">
      <c r="A1634" s="82">
        <v>44769.0</v>
      </c>
      <c r="B1634" s="66">
        <v>2384.0</v>
      </c>
      <c r="C1634" s="66">
        <v>1.0</v>
      </c>
      <c r="D1634" s="66" t="s">
        <v>238</v>
      </c>
      <c r="E1634" s="66">
        <v>0.0</v>
      </c>
      <c r="F1634" s="66">
        <v>1.196</v>
      </c>
      <c r="G1634" s="66">
        <v>0.705</v>
      </c>
      <c r="H1634" s="66" t="s">
        <v>236</v>
      </c>
      <c r="I1634" s="81">
        <f t="shared" si="8"/>
        <v>0.6964539007</v>
      </c>
      <c r="J1634" s="81">
        <f t="shared" si="4"/>
        <v>0.5894648829</v>
      </c>
    </row>
    <row r="1635">
      <c r="A1635" s="82">
        <v>44769.0</v>
      </c>
      <c r="B1635" s="66">
        <v>2384.0</v>
      </c>
      <c r="C1635" s="66">
        <v>1.0</v>
      </c>
      <c r="D1635" s="66" t="s">
        <v>204</v>
      </c>
      <c r="E1635" s="66">
        <v>0.0</v>
      </c>
      <c r="F1635" s="66">
        <v>0.146</v>
      </c>
      <c r="G1635" s="66">
        <v>0.088</v>
      </c>
      <c r="H1635" s="66" t="s">
        <v>236</v>
      </c>
      <c r="I1635" s="81">
        <f t="shared" si="8"/>
        <v>0.6590909091</v>
      </c>
      <c r="J1635" s="81">
        <f t="shared" si="4"/>
        <v>0.602739726</v>
      </c>
    </row>
    <row r="1636">
      <c r="A1636" s="82">
        <v>44769.0</v>
      </c>
      <c r="B1636" s="66">
        <v>2381.0</v>
      </c>
      <c r="C1636" s="66">
        <v>2.0</v>
      </c>
      <c r="D1636" s="66" t="s">
        <v>205</v>
      </c>
      <c r="E1636" s="66">
        <v>0.0</v>
      </c>
      <c r="F1636" s="66">
        <v>2.111</v>
      </c>
      <c r="G1636" s="66">
        <v>1.2</v>
      </c>
      <c r="H1636" s="66" t="s">
        <v>236</v>
      </c>
      <c r="I1636" s="81">
        <f t="shared" si="8"/>
        <v>0.7591666667</v>
      </c>
      <c r="J1636" s="81">
        <f t="shared" si="4"/>
        <v>0.5684509711</v>
      </c>
    </row>
    <row r="1637">
      <c r="A1637" s="82">
        <v>44769.0</v>
      </c>
      <c r="B1637" s="66">
        <v>2381.0</v>
      </c>
      <c r="C1637" s="66">
        <v>2.0</v>
      </c>
      <c r="D1637" s="66" t="s">
        <v>204</v>
      </c>
      <c r="E1637" s="66">
        <v>0.0</v>
      </c>
      <c r="F1637" s="66">
        <v>0.193</v>
      </c>
      <c r="G1637" s="66">
        <v>0.115</v>
      </c>
      <c r="H1637" s="66" t="s">
        <v>236</v>
      </c>
      <c r="I1637" s="81">
        <f t="shared" si="8"/>
        <v>0.6782608696</v>
      </c>
      <c r="J1637" s="81">
        <f t="shared" si="4"/>
        <v>0.5958549223</v>
      </c>
    </row>
    <row r="1638">
      <c r="A1638" s="82">
        <v>44769.0</v>
      </c>
      <c r="B1638" s="66">
        <v>2381.0</v>
      </c>
      <c r="C1638" s="66">
        <v>1.0</v>
      </c>
      <c r="D1638" s="66" t="s">
        <v>205</v>
      </c>
      <c r="E1638" s="66">
        <v>0.0</v>
      </c>
      <c r="F1638" s="66">
        <v>1.434</v>
      </c>
      <c r="G1638" s="66">
        <v>0.851</v>
      </c>
      <c r="H1638" s="66" t="s">
        <v>236</v>
      </c>
      <c r="I1638" s="81">
        <f t="shared" si="8"/>
        <v>0.6850763807</v>
      </c>
      <c r="J1638" s="81">
        <f t="shared" si="4"/>
        <v>0.5934449093</v>
      </c>
    </row>
    <row r="1639">
      <c r="A1639" s="82">
        <v>44769.0</v>
      </c>
      <c r="B1639" s="66">
        <v>2381.0</v>
      </c>
      <c r="C1639" s="66">
        <v>1.0</v>
      </c>
      <c r="D1639" s="66" t="s">
        <v>204</v>
      </c>
      <c r="E1639" s="66">
        <v>0.0</v>
      </c>
      <c r="F1639" s="66">
        <v>0.177</v>
      </c>
      <c r="G1639" s="66">
        <v>0.107</v>
      </c>
      <c r="H1639" s="66" t="s">
        <v>236</v>
      </c>
      <c r="I1639" s="81">
        <f t="shared" si="8"/>
        <v>0.6542056075</v>
      </c>
      <c r="J1639" s="81">
        <f t="shared" si="4"/>
        <v>0.604519774</v>
      </c>
    </row>
    <row r="1640">
      <c r="A1640" s="82">
        <v>44769.0</v>
      </c>
      <c r="B1640" s="66">
        <v>2011.0</v>
      </c>
      <c r="C1640" s="66">
        <v>2.0</v>
      </c>
      <c r="D1640" s="66" t="s">
        <v>205</v>
      </c>
      <c r="E1640" s="66">
        <v>0.0</v>
      </c>
      <c r="F1640" s="66">
        <v>1.573</v>
      </c>
      <c r="G1640" s="66">
        <v>0.948</v>
      </c>
      <c r="H1640" s="66" t="s">
        <v>236</v>
      </c>
      <c r="I1640" s="81">
        <f t="shared" si="8"/>
        <v>0.6592827004</v>
      </c>
      <c r="J1640" s="81">
        <f t="shared" si="4"/>
        <v>0.6026700572</v>
      </c>
    </row>
    <row r="1641">
      <c r="A1641" s="82">
        <v>44769.0</v>
      </c>
      <c r="B1641" s="66">
        <v>2011.0</v>
      </c>
      <c r="C1641" s="66">
        <v>2.0</v>
      </c>
      <c r="D1641" s="66" t="s">
        <v>204</v>
      </c>
      <c r="E1641" s="66">
        <v>0.0</v>
      </c>
      <c r="F1641" s="66">
        <v>0.25</v>
      </c>
      <c r="G1641" s="66">
        <v>0.117</v>
      </c>
      <c r="H1641" s="66" t="s">
        <v>236</v>
      </c>
      <c r="I1641" s="81">
        <f t="shared" si="8"/>
        <v>1.136752137</v>
      </c>
      <c r="J1641" s="81">
        <f t="shared" si="4"/>
        <v>0.468</v>
      </c>
    </row>
    <row r="1642">
      <c r="A1642" s="82">
        <v>44769.0</v>
      </c>
      <c r="B1642" s="66">
        <v>2379.0</v>
      </c>
      <c r="C1642" s="66">
        <v>2.0</v>
      </c>
      <c r="D1642" s="66" t="s">
        <v>205</v>
      </c>
      <c r="E1642" s="66">
        <v>0.0</v>
      </c>
      <c r="F1642" s="66">
        <v>1.147</v>
      </c>
      <c r="G1642" s="66">
        <v>0.681</v>
      </c>
      <c r="H1642" s="66" t="s">
        <v>236</v>
      </c>
      <c r="I1642" s="81">
        <f t="shared" si="8"/>
        <v>0.684287812</v>
      </c>
      <c r="J1642" s="81">
        <f t="shared" si="4"/>
        <v>0.593722755</v>
      </c>
    </row>
    <row r="1643">
      <c r="A1643" s="82">
        <v>44769.0</v>
      </c>
      <c r="B1643" s="66">
        <v>2379.0</v>
      </c>
      <c r="C1643" s="66">
        <v>2.0</v>
      </c>
      <c r="D1643" s="66" t="s">
        <v>204</v>
      </c>
      <c r="E1643" s="66">
        <v>0.0</v>
      </c>
      <c r="F1643" s="66">
        <v>0.104</v>
      </c>
      <c r="G1643" s="66">
        <v>0.039</v>
      </c>
      <c r="H1643" s="66" t="s">
        <v>236</v>
      </c>
      <c r="I1643" s="81">
        <f t="shared" si="8"/>
        <v>1.666666667</v>
      </c>
      <c r="J1643" s="81">
        <f t="shared" si="4"/>
        <v>0.375</v>
      </c>
    </row>
    <row r="1644">
      <c r="A1644" s="82">
        <v>44769.0</v>
      </c>
      <c r="B1644" s="66">
        <v>2369.0</v>
      </c>
      <c r="C1644" s="66">
        <v>2.0</v>
      </c>
      <c r="D1644" s="66" t="s">
        <v>205</v>
      </c>
      <c r="E1644" s="66">
        <v>0.0</v>
      </c>
      <c r="F1644" s="66">
        <v>1.736</v>
      </c>
      <c r="G1644" s="66">
        <v>1.025</v>
      </c>
      <c r="H1644" s="66" t="s">
        <v>236</v>
      </c>
      <c r="I1644" s="81">
        <f t="shared" si="8"/>
        <v>0.6936585366</v>
      </c>
      <c r="J1644" s="81">
        <f t="shared" si="4"/>
        <v>0.590437788</v>
      </c>
    </row>
    <row r="1645">
      <c r="A1645" s="82">
        <v>44769.0</v>
      </c>
      <c r="B1645" s="66">
        <v>2369.0</v>
      </c>
      <c r="C1645" s="66">
        <v>2.0</v>
      </c>
      <c r="D1645" s="66" t="s">
        <v>204</v>
      </c>
      <c r="E1645" s="66">
        <v>0.0</v>
      </c>
      <c r="F1645" s="66">
        <v>0.11</v>
      </c>
      <c r="G1645" s="66">
        <v>0.068</v>
      </c>
      <c r="H1645" s="66" t="s">
        <v>236</v>
      </c>
      <c r="I1645" s="81">
        <f t="shared" si="8"/>
        <v>0.6176470588</v>
      </c>
      <c r="J1645" s="81">
        <f t="shared" si="4"/>
        <v>0.6181818182</v>
      </c>
    </row>
    <row r="1646">
      <c r="A1646" s="82">
        <v>44769.0</v>
      </c>
      <c r="B1646" s="66">
        <v>2365.0</v>
      </c>
      <c r="C1646" s="66">
        <v>1.0</v>
      </c>
      <c r="D1646" s="66" t="s">
        <v>205</v>
      </c>
      <c r="E1646" s="66">
        <v>0.0</v>
      </c>
      <c r="F1646" s="66">
        <v>2.15</v>
      </c>
      <c r="G1646" s="66">
        <v>1.243</v>
      </c>
      <c r="H1646" s="66" t="s">
        <v>236</v>
      </c>
      <c r="I1646" s="81">
        <f t="shared" si="8"/>
        <v>0.729686243</v>
      </c>
      <c r="J1646" s="81">
        <f t="shared" si="4"/>
        <v>0.5781395349</v>
      </c>
    </row>
    <row r="1647">
      <c r="A1647" s="82">
        <v>44769.0</v>
      </c>
      <c r="B1647" s="66">
        <v>2365.0</v>
      </c>
      <c r="C1647" s="66">
        <v>1.0</v>
      </c>
      <c r="D1647" s="66" t="s">
        <v>204</v>
      </c>
      <c r="E1647" s="66">
        <v>0.0</v>
      </c>
      <c r="F1647" s="66">
        <v>0.381</v>
      </c>
      <c r="G1647" s="66">
        <v>0.239</v>
      </c>
      <c r="H1647" s="66" t="s">
        <v>236</v>
      </c>
      <c r="I1647" s="81">
        <f t="shared" si="8"/>
        <v>0.5941422594</v>
      </c>
      <c r="J1647" s="81">
        <f t="shared" si="4"/>
        <v>0.6272965879</v>
      </c>
    </row>
    <row r="1648">
      <c r="A1648" s="82">
        <v>44769.0</v>
      </c>
      <c r="B1648" s="66">
        <v>2382.0</v>
      </c>
      <c r="C1648" s="66">
        <v>1.0</v>
      </c>
      <c r="D1648" s="66" t="s">
        <v>238</v>
      </c>
      <c r="E1648" s="66">
        <v>0.0</v>
      </c>
      <c r="F1648" s="66">
        <v>2.663</v>
      </c>
      <c r="G1648" s="66">
        <v>1.615</v>
      </c>
      <c r="H1648" s="66" t="s">
        <v>236</v>
      </c>
      <c r="I1648" s="81">
        <f t="shared" si="8"/>
        <v>0.6489164087</v>
      </c>
      <c r="J1648" s="81">
        <f t="shared" si="4"/>
        <v>0.606458881</v>
      </c>
    </row>
    <row r="1649">
      <c r="A1649" s="82">
        <v>44769.0</v>
      </c>
      <c r="B1649" s="66">
        <v>2382.0</v>
      </c>
      <c r="C1649" s="66">
        <v>1.0</v>
      </c>
      <c r="D1649" s="66" t="s">
        <v>204</v>
      </c>
      <c r="E1649" s="66">
        <v>0.0</v>
      </c>
      <c r="F1649" s="66">
        <v>0.237</v>
      </c>
      <c r="G1649" s="66">
        <v>0.143</v>
      </c>
      <c r="H1649" s="66" t="s">
        <v>236</v>
      </c>
      <c r="I1649" s="81">
        <f t="shared" si="8"/>
        <v>0.6573426573</v>
      </c>
      <c r="J1649" s="81">
        <f t="shared" si="4"/>
        <v>0.6033755274</v>
      </c>
    </row>
    <row r="1650">
      <c r="A1650" s="82">
        <v>44769.0</v>
      </c>
      <c r="B1650" s="66">
        <v>2352.0</v>
      </c>
      <c r="C1650" s="66">
        <v>2.0</v>
      </c>
      <c r="D1650" s="66" t="s">
        <v>205</v>
      </c>
      <c r="E1650" s="66">
        <v>0.0</v>
      </c>
      <c r="F1650" s="66">
        <v>0.763</v>
      </c>
      <c r="G1650" s="66">
        <v>0.466</v>
      </c>
      <c r="H1650" s="66" t="s">
        <v>237</v>
      </c>
      <c r="I1650" s="81">
        <f t="shared" si="8"/>
        <v>0.6373390558</v>
      </c>
      <c r="J1650" s="81">
        <f t="shared" si="4"/>
        <v>0.6107470511</v>
      </c>
    </row>
    <row r="1651">
      <c r="A1651" s="82">
        <v>44769.0</v>
      </c>
      <c r="B1651" s="66">
        <v>2352.0</v>
      </c>
      <c r="C1651" s="66">
        <v>2.0</v>
      </c>
      <c r="D1651" s="66" t="s">
        <v>204</v>
      </c>
      <c r="E1651" s="66">
        <v>0.0</v>
      </c>
      <c r="F1651" s="66">
        <v>0.063</v>
      </c>
      <c r="G1651" s="66">
        <v>0.036</v>
      </c>
      <c r="H1651" s="66" t="s">
        <v>237</v>
      </c>
      <c r="I1651" s="81">
        <f t="shared" si="8"/>
        <v>0.75</v>
      </c>
      <c r="J1651" s="81">
        <f t="shared" si="4"/>
        <v>0.5714285714</v>
      </c>
    </row>
    <row r="1652">
      <c r="A1652" s="82">
        <v>44769.0</v>
      </c>
      <c r="B1652" s="66">
        <v>2375.0</v>
      </c>
      <c r="C1652" s="66">
        <v>2.0</v>
      </c>
      <c r="D1652" s="66" t="s">
        <v>205</v>
      </c>
      <c r="E1652" s="66">
        <v>0.0</v>
      </c>
      <c r="F1652" s="66">
        <v>2.217</v>
      </c>
      <c r="G1652" s="66">
        <v>1.27</v>
      </c>
      <c r="H1652" s="66" t="s">
        <v>236</v>
      </c>
      <c r="I1652" s="81">
        <f t="shared" si="8"/>
        <v>0.7456692913</v>
      </c>
      <c r="J1652" s="81">
        <f t="shared" si="4"/>
        <v>0.5728461885</v>
      </c>
    </row>
    <row r="1653">
      <c r="A1653" s="82">
        <v>44769.0</v>
      </c>
      <c r="B1653" s="66">
        <v>2375.0</v>
      </c>
      <c r="C1653" s="66">
        <v>2.0</v>
      </c>
      <c r="D1653" s="66" t="s">
        <v>204</v>
      </c>
      <c r="E1653" s="66">
        <v>0.0</v>
      </c>
      <c r="F1653" s="66">
        <v>0.763</v>
      </c>
      <c r="G1653" s="66">
        <v>0.443</v>
      </c>
      <c r="H1653" s="66" t="s">
        <v>236</v>
      </c>
      <c r="I1653" s="81">
        <f t="shared" si="8"/>
        <v>0.7223476298</v>
      </c>
      <c r="J1653" s="81">
        <f t="shared" si="4"/>
        <v>0.5806028834</v>
      </c>
    </row>
    <row r="1654">
      <c r="A1654" s="82">
        <v>44769.0</v>
      </c>
      <c r="B1654" s="66">
        <v>2371.0</v>
      </c>
      <c r="C1654" s="66">
        <v>1.0</v>
      </c>
      <c r="D1654" s="66" t="s">
        <v>205</v>
      </c>
      <c r="E1654" s="66">
        <v>0.0</v>
      </c>
      <c r="F1654" s="66">
        <v>2.456</v>
      </c>
      <c r="G1654" s="66">
        <v>1.421</v>
      </c>
      <c r="H1654" s="66" t="s">
        <v>236</v>
      </c>
      <c r="I1654" s="81">
        <f t="shared" si="8"/>
        <v>0.7283603096</v>
      </c>
      <c r="J1654" s="81">
        <f t="shared" si="4"/>
        <v>0.5785830619</v>
      </c>
    </row>
    <row r="1655">
      <c r="A1655" s="82">
        <v>44769.0</v>
      </c>
      <c r="B1655" s="66">
        <v>2371.0</v>
      </c>
      <c r="C1655" s="66">
        <v>1.0</v>
      </c>
      <c r="D1655" s="66" t="s">
        <v>204</v>
      </c>
      <c r="E1655" s="66">
        <v>0.0</v>
      </c>
      <c r="F1655" s="66">
        <v>0.497</v>
      </c>
      <c r="G1655" s="66">
        <v>0.281</v>
      </c>
      <c r="H1655" s="66" t="s">
        <v>236</v>
      </c>
      <c r="I1655" s="81">
        <f t="shared" si="8"/>
        <v>0.768683274</v>
      </c>
      <c r="J1655" s="81">
        <f t="shared" si="4"/>
        <v>0.5653923541</v>
      </c>
    </row>
    <row r="1656">
      <c r="A1656" s="82">
        <v>44769.0</v>
      </c>
      <c r="B1656" s="66">
        <v>2354.0</v>
      </c>
      <c r="C1656" s="66">
        <v>1.0</v>
      </c>
      <c r="D1656" s="66" t="s">
        <v>205</v>
      </c>
      <c r="E1656" s="66">
        <v>1.0</v>
      </c>
      <c r="F1656" s="66">
        <v>0.797</v>
      </c>
      <c r="G1656" s="66">
        <v>0.528</v>
      </c>
      <c r="H1656" s="66" t="s">
        <v>237</v>
      </c>
      <c r="I1656" s="81">
        <f t="shared" si="8"/>
        <v>0.509469697</v>
      </c>
      <c r="J1656" s="81">
        <f t="shared" si="4"/>
        <v>0.6624843162</v>
      </c>
    </row>
    <row r="1657">
      <c r="A1657" s="82">
        <v>44769.0</v>
      </c>
      <c r="B1657" s="66">
        <v>2354.0</v>
      </c>
      <c r="C1657" s="66">
        <v>1.0</v>
      </c>
      <c r="D1657" s="66" t="s">
        <v>204</v>
      </c>
      <c r="E1657" s="66">
        <v>1.0</v>
      </c>
      <c r="F1657" s="66">
        <v>0.855</v>
      </c>
      <c r="G1657" s="66">
        <v>0.455</v>
      </c>
      <c r="H1657" s="66" t="s">
        <v>237</v>
      </c>
      <c r="I1657" s="81">
        <f t="shared" si="8"/>
        <v>0.8791208791</v>
      </c>
      <c r="J1657" s="81">
        <f t="shared" si="4"/>
        <v>0.5321637427</v>
      </c>
    </row>
    <row r="1658">
      <c r="A1658" s="82">
        <v>44769.0</v>
      </c>
      <c r="B1658" s="66">
        <v>2343.0</v>
      </c>
      <c r="C1658" s="66">
        <v>1.0</v>
      </c>
      <c r="D1658" s="66" t="s">
        <v>205</v>
      </c>
      <c r="E1658" s="66">
        <v>0.0</v>
      </c>
      <c r="F1658" s="66">
        <v>0.737</v>
      </c>
      <c r="G1658" s="66">
        <v>0.463</v>
      </c>
      <c r="H1658" s="66" t="s">
        <v>236</v>
      </c>
      <c r="I1658" s="81">
        <f t="shared" si="8"/>
        <v>0.5917926566</v>
      </c>
      <c r="J1658" s="81">
        <f t="shared" si="4"/>
        <v>0.6282225237</v>
      </c>
    </row>
    <row r="1659">
      <c r="A1659" s="82">
        <v>44769.0</v>
      </c>
      <c r="B1659" s="66">
        <v>2343.0</v>
      </c>
      <c r="C1659" s="66">
        <v>1.0</v>
      </c>
      <c r="D1659" s="66" t="s">
        <v>204</v>
      </c>
      <c r="E1659" s="66">
        <v>0.0</v>
      </c>
      <c r="F1659" s="66">
        <v>0.256</v>
      </c>
      <c r="G1659" s="66">
        <v>0.119</v>
      </c>
      <c r="H1659" s="66" t="s">
        <v>236</v>
      </c>
      <c r="I1659" s="81">
        <f t="shared" si="8"/>
        <v>1.151260504</v>
      </c>
      <c r="J1659" s="81">
        <f t="shared" si="4"/>
        <v>0.46484375</v>
      </c>
    </row>
    <row r="1660">
      <c r="A1660" s="82">
        <v>44769.0</v>
      </c>
      <c r="B1660" s="66">
        <v>2010.0</v>
      </c>
      <c r="C1660" s="66">
        <v>2.0</v>
      </c>
      <c r="D1660" s="66" t="s">
        <v>205</v>
      </c>
      <c r="E1660" s="66">
        <v>0.0</v>
      </c>
      <c r="F1660" s="66">
        <v>1.724</v>
      </c>
      <c r="G1660" s="66">
        <v>0.98</v>
      </c>
      <c r="H1660" s="66" t="s">
        <v>236</v>
      </c>
      <c r="I1660" s="81">
        <f t="shared" si="8"/>
        <v>0.7591836735</v>
      </c>
      <c r="J1660" s="81">
        <f t="shared" si="4"/>
        <v>0.5684454756</v>
      </c>
    </row>
    <row r="1661">
      <c r="A1661" s="82">
        <v>44769.0</v>
      </c>
      <c r="B1661" s="66">
        <v>2010.0</v>
      </c>
      <c r="C1661" s="66">
        <v>2.0</v>
      </c>
      <c r="D1661" s="66" t="s">
        <v>204</v>
      </c>
      <c r="E1661" s="66">
        <v>0.0</v>
      </c>
      <c r="F1661" s="66">
        <v>0.213</v>
      </c>
      <c r="G1661" s="66">
        <v>0.121</v>
      </c>
      <c r="H1661" s="66" t="s">
        <v>236</v>
      </c>
      <c r="I1661" s="81">
        <f t="shared" si="8"/>
        <v>0.7603305785</v>
      </c>
      <c r="J1661" s="81">
        <f t="shared" si="4"/>
        <v>0.5680751174</v>
      </c>
    </row>
    <row r="1662">
      <c r="A1662" s="82">
        <v>44769.0</v>
      </c>
      <c r="B1662" s="66">
        <v>2352.0</v>
      </c>
      <c r="C1662" s="66">
        <v>1.0</v>
      </c>
      <c r="D1662" s="66" t="s">
        <v>238</v>
      </c>
      <c r="E1662" s="66">
        <v>1.0</v>
      </c>
      <c r="F1662" s="66">
        <v>1.532</v>
      </c>
      <c r="G1662" s="66">
        <v>1.035</v>
      </c>
      <c r="H1662" s="66" t="s">
        <v>237</v>
      </c>
      <c r="I1662" s="81">
        <f t="shared" si="8"/>
        <v>0.4801932367</v>
      </c>
      <c r="J1662" s="81">
        <f t="shared" si="4"/>
        <v>0.6755874674</v>
      </c>
    </row>
    <row r="1663">
      <c r="A1663" s="82">
        <v>44769.0</v>
      </c>
      <c r="B1663" s="66">
        <v>2352.0</v>
      </c>
      <c r="C1663" s="66">
        <v>1.0</v>
      </c>
      <c r="D1663" s="66" t="s">
        <v>204</v>
      </c>
      <c r="E1663" s="66">
        <v>1.0</v>
      </c>
      <c r="F1663" s="66">
        <v>0.868</v>
      </c>
      <c r="G1663" s="66">
        <v>0.534</v>
      </c>
      <c r="H1663" s="66" t="s">
        <v>237</v>
      </c>
      <c r="I1663" s="81">
        <f t="shared" si="8"/>
        <v>0.6254681648</v>
      </c>
      <c r="J1663" s="81">
        <f t="shared" si="4"/>
        <v>0.6152073733</v>
      </c>
    </row>
    <row r="1664">
      <c r="A1664" s="82">
        <v>44769.0</v>
      </c>
      <c r="B1664" s="66">
        <v>2378.0</v>
      </c>
      <c r="C1664" s="66">
        <v>1.0</v>
      </c>
      <c r="D1664" s="66" t="s">
        <v>238</v>
      </c>
      <c r="E1664" s="66">
        <v>0.0</v>
      </c>
      <c r="F1664" s="66">
        <v>2.063</v>
      </c>
      <c r="G1664" s="66">
        <v>1.186</v>
      </c>
      <c r="H1664" s="66" t="s">
        <v>236</v>
      </c>
      <c r="I1664" s="81">
        <f t="shared" si="8"/>
        <v>0.739460371</v>
      </c>
      <c r="J1664" s="81">
        <f t="shared" si="4"/>
        <v>0.5748909355</v>
      </c>
    </row>
    <row r="1665">
      <c r="A1665" s="82">
        <v>44769.0</v>
      </c>
      <c r="B1665" s="66">
        <v>2378.0</v>
      </c>
      <c r="C1665" s="66">
        <v>1.0</v>
      </c>
      <c r="D1665" s="66" t="s">
        <v>204</v>
      </c>
      <c r="E1665" s="66">
        <v>0.0</v>
      </c>
      <c r="F1665" s="66">
        <v>0.289</v>
      </c>
      <c r="G1665" s="66">
        <v>0.175</v>
      </c>
      <c r="H1665" s="66" t="s">
        <v>236</v>
      </c>
      <c r="I1665" s="81">
        <f t="shared" si="8"/>
        <v>0.6514285714</v>
      </c>
      <c r="J1665" s="81">
        <f t="shared" si="4"/>
        <v>0.6055363322</v>
      </c>
    </row>
    <row r="1666">
      <c r="A1666" s="82">
        <v>44769.0</v>
      </c>
      <c r="B1666" s="66">
        <v>2365.0</v>
      </c>
      <c r="C1666" s="66">
        <v>2.0</v>
      </c>
      <c r="D1666" s="66" t="s">
        <v>205</v>
      </c>
      <c r="E1666" s="66">
        <v>0.0</v>
      </c>
      <c r="F1666" s="66">
        <v>0.513</v>
      </c>
      <c r="G1666" s="66">
        <v>0.286</v>
      </c>
      <c r="H1666" s="66" t="s">
        <v>236</v>
      </c>
      <c r="I1666" s="81">
        <f t="shared" si="8"/>
        <v>0.7937062937</v>
      </c>
      <c r="J1666" s="81">
        <f t="shared" si="4"/>
        <v>0.5575048733</v>
      </c>
    </row>
    <row r="1667">
      <c r="A1667" s="82">
        <v>44769.0</v>
      </c>
      <c r="B1667" s="66">
        <v>2365.0</v>
      </c>
      <c r="C1667" s="66">
        <v>2.0</v>
      </c>
      <c r="D1667" s="66" t="s">
        <v>204</v>
      </c>
      <c r="E1667" s="66">
        <v>0.0</v>
      </c>
      <c r="F1667" s="66">
        <v>0.052</v>
      </c>
      <c r="G1667" s="66">
        <v>0.031</v>
      </c>
      <c r="H1667" s="66" t="s">
        <v>236</v>
      </c>
      <c r="I1667" s="81">
        <f t="shared" si="8"/>
        <v>0.6774193548</v>
      </c>
      <c r="J1667" s="81">
        <f t="shared" si="4"/>
        <v>0.5961538462</v>
      </c>
    </row>
    <row r="1668">
      <c r="A1668" s="82">
        <v>44769.0</v>
      </c>
      <c r="B1668" s="66">
        <v>2372.0</v>
      </c>
      <c r="C1668" s="66">
        <v>2.0</v>
      </c>
      <c r="D1668" s="66" t="s">
        <v>205</v>
      </c>
      <c r="E1668" s="66">
        <v>0.0</v>
      </c>
      <c r="F1668" s="66">
        <v>1.345</v>
      </c>
      <c r="G1668" s="66">
        <v>0.756</v>
      </c>
      <c r="H1668" s="66" t="s">
        <v>236</v>
      </c>
      <c r="I1668" s="81">
        <f t="shared" si="8"/>
        <v>0.7791005291</v>
      </c>
      <c r="J1668" s="81">
        <f t="shared" si="4"/>
        <v>0.5620817844</v>
      </c>
    </row>
    <row r="1669">
      <c r="A1669" s="82">
        <v>44769.0</v>
      </c>
      <c r="B1669" s="66">
        <v>2372.0</v>
      </c>
      <c r="C1669" s="66">
        <v>2.0</v>
      </c>
      <c r="D1669" s="66" t="s">
        <v>204</v>
      </c>
      <c r="E1669" s="66">
        <v>0.0</v>
      </c>
      <c r="F1669" s="66">
        <v>0.188</v>
      </c>
      <c r="G1669" s="85">
        <v>0.072</v>
      </c>
      <c r="H1669" s="66" t="s">
        <v>239</v>
      </c>
      <c r="I1669" s="81">
        <f t="shared" si="8"/>
        <v>1.611111111</v>
      </c>
      <c r="J1669" s="81">
        <f t="shared" si="4"/>
        <v>0.3829787234</v>
      </c>
    </row>
    <row r="1670">
      <c r="A1670" s="82">
        <v>44769.0</v>
      </c>
      <c r="B1670" s="66">
        <v>2010.0</v>
      </c>
      <c r="C1670" s="66">
        <v>1.0</v>
      </c>
      <c r="D1670" s="66" t="s">
        <v>205</v>
      </c>
      <c r="E1670" s="66">
        <v>0.0</v>
      </c>
      <c r="F1670" s="66">
        <v>1.679</v>
      </c>
      <c r="G1670" s="66">
        <v>0.957</v>
      </c>
      <c r="H1670" s="66" t="s">
        <v>236</v>
      </c>
      <c r="I1670" s="81">
        <f t="shared" si="8"/>
        <v>0.7544409613</v>
      </c>
      <c r="J1670" s="81">
        <f t="shared" si="4"/>
        <v>0.5699821322</v>
      </c>
    </row>
    <row r="1671">
      <c r="A1671" s="82">
        <v>44769.0</v>
      </c>
      <c r="B1671" s="66">
        <v>2010.0</v>
      </c>
      <c r="C1671" s="66">
        <v>1.0</v>
      </c>
      <c r="D1671" s="66" t="s">
        <v>204</v>
      </c>
      <c r="E1671" s="66">
        <v>0.0</v>
      </c>
      <c r="F1671" s="66">
        <v>0.312</v>
      </c>
      <c r="G1671" s="66">
        <v>0.181</v>
      </c>
      <c r="H1671" s="66" t="s">
        <v>236</v>
      </c>
      <c r="I1671" s="81">
        <f t="shared" si="8"/>
        <v>0.7237569061</v>
      </c>
      <c r="J1671" s="81">
        <f t="shared" si="4"/>
        <v>0.5801282051</v>
      </c>
    </row>
    <row r="1672">
      <c r="A1672" s="82">
        <v>44769.0</v>
      </c>
      <c r="B1672" s="66">
        <v>2352.0</v>
      </c>
      <c r="C1672" s="66">
        <v>2.0</v>
      </c>
      <c r="D1672" s="66" t="s">
        <v>205</v>
      </c>
      <c r="E1672" s="66">
        <v>1.0</v>
      </c>
      <c r="F1672" s="66">
        <v>0.818</v>
      </c>
      <c r="G1672" s="66">
        <v>0.54</v>
      </c>
      <c r="H1672" s="66" t="s">
        <v>237</v>
      </c>
      <c r="I1672" s="81">
        <f t="shared" si="8"/>
        <v>0.5148148148</v>
      </c>
      <c r="J1672" s="81">
        <f t="shared" si="4"/>
        <v>0.6601466993</v>
      </c>
    </row>
    <row r="1673">
      <c r="A1673" s="82">
        <v>44769.0</v>
      </c>
      <c r="B1673" s="66">
        <v>2352.0</v>
      </c>
      <c r="C1673" s="66">
        <v>2.0</v>
      </c>
      <c r="D1673" s="66" t="s">
        <v>204</v>
      </c>
      <c r="E1673" s="66">
        <v>1.0</v>
      </c>
      <c r="F1673" s="66">
        <v>0.387</v>
      </c>
      <c r="G1673" s="66">
        <v>0.247</v>
      </c>
      <c r="H1673" s="66" t="s">
        <v>237</v>
      </c>
      <c r="I1673" s="81">
        <f t="shared" si="8"/>
        <v>0.5668016194</v>
      </c>
      <c r="J1673" s="81">
        <f t="shared" si="4"/>
        <v>0.6382428941</v>
      </c>
    </row>
    <row r="1674">
      <c r="A1674" s="82">
        <v>44769.0</v>
      </c>
      <c r="B1674" s="66">
        <v>2380.0</v>
      </c>
      <c r="C1674" s="66">
        <v>1.0</v>
      </c>
      <c r="D1674" s="66" t="s">
        <v>205</v>
      </c>
      <c r="E1674" s="66">
        <v>0.0</v>
      </c>
      <c r="F1674" s="66">
        <v>1.782</v>
      </c>
      <c r="G1674" s="66">
        <v>1.082</v>
      </c>
      <c r="H1674" s="66" t="s">
        <v>237</v>
      </c>
      <c r="I1674" s="81">
        <f t="shared" si="8"/>
        <v>0.6469500924</v>
      </c>
      <c r="J1674" s="81">
        <f t="shared" si="4"/>
        <v>0.6071829405</v>
      </c>
    </row>
    <row r="1675">
      <c r="A1675" s="82">
        <v>44769.0</v>
      </c>
      <c r="B1675" s="66">
        <v>2380.0</v>
      </c>
      <c r="C1675" s="66">
        <v>1.0</v>
      </c>
      <c r="D1675" s="66" t="s">
        <v>204</v>
      </c>
      <c r="E1675" s="66">
        <v>0.0</v>
      </c>
      <c r="F1675" s="66">
        <v>0.418</v>
      </c>
      <c r="G1675" s="66">
        <v>0.242</v>
      </c>
      <c r="H1675" s="66" t="s">
        <v>237</v>
      </c>
      <c r="I1675" s="81">
        <f t="shared" si="8"/>
        <v>0.7272727273</v>
      </c>
      <c r="J1675" s="81">
        <f t="shared" si="4"/>
        <v>0.5789473684</v>
      </c>
    </row>
    <row r="1676">
      <c r="A1676" s="82">
        <v>44769.0</v>
      </c>
      <c r="B1676" s="66">
        <v>2370.0</v>
      </c>
      <c r="C1676" s="66">
        <v>2.0</v>
      </c>
      <c r="D1676" s="66" t="s">
        <v>205</v>
      </c>
      <c r="E1676" s="66">
        <v>0.0</v>
      </c>
      <c r="F1676" s="66">
        <v>0.701</v>
      </c>
      <c r="G1676" s="66">
        <v>0.409</v>
      </c>
      <c r="H1676" s="66" t="s">
        <v>236</v>
      </c>
      <c r="I1676" s="81">
        <f t="shared" si="8"/>
        <v>0.7139364303</v>
      </c>
      <c r="J1676" s="81">
        <f t="shared" si="4"/>
        <v>0.5834522111</v>
      </c>
    </row>
    <row r="1677">
      <c r="A1677" s="82">
        <v>44769.0</v>
      </c>
      <c r="B1677" s="66">
        <v>2370.0</v>
      </c>
      <c r="C1677" s="66">
        <v>2.0</v>
      </c>
      <c r="D1677" s="66" t="s">
        <v>204</v>
      </c>
      <c r="E1677" s="66">
        <v>0.0</v>
      </c>
      <c r="F1677" s="66">
        <v>0.103</v>
      </c>
      <c r="G1677" s="66">
        <v>0.056</v>
      </c>
      <c r="H1677" s="66" t="s">
        <v>236</v>
      </c>
      <c r="I1677" s="81">
        <f t="shared" si="8"/>
        <v>0.8392857143</v>
      </c>
      <c r="J1677" s="81">
        <f t="shared" si="4"/>
        <v>0.5436893204</v>
      </c>
    </row>
    <row r="1678">
      <c r="A1678" s="82">
        <v>44769.0</v>
      </c>
      <c r="B1678" s="66">
        <v>2360.0</v>
      </c>
      <c r="C1678" s="66">
        <v>2.0</v>
      </c>
      <c r="D1678" s="66" t="s">
        <v>238</v>
      </c>
      <c r="E1678" s="66">
        <v>0.0</v>
      </c>
      <c r="F1678" s="66">
        <v>1.214</v>
      </c>
      <c r="G1678" s="66">
        <v>0.677</v>
      </c>
      <c r="H1678" s="66" t="s">
        <v>236</v>
      </c>
      <c r="I1678" s="81">
        <f t="shared" si="8"/>
        <v>0.7932053176</v>
      </c>
      <c r="J1678" s="81">
        <f t="shared" si="4"/>
        <v>0.557660626</v>
      </c>
    </row>
    <row r="1679">
      <c r="A1679" s="82">
        <v>44769.0</v>
      </c>
      <c r="B1679" s="66">
        <v>2360.0</v>
      </c>
      <c r="C1679" s="66">
        <v>2.0</v>
      </c>
      <c r="D1679" s="66" t="s">
        <v>204</v>
      </c>
      <c r="E1679" s="66">
        <v>0.0</v>
      </c>
      <c r="F1679" s="66">
        <v>0.311</v>
      </c>
      <c r="G1679" s="66">
        <v>0.19</v>
      </c>
      <c r="H1679" s="66" t="s">
        <v>236</v>
      </c>
      <c r="I1679" s="81">
        <f t="shared" si="8"/>
        <v>0.6368421053</v>
      </c>
      <c r="J1679" s="81">
        <f t="shared" si="4"/>
        <v>0.6109324759</v>
      </c>
    </row>
    <row r="1680">
      <c r="A1680" s="82">
        <v>44819.0</v>
      </c>
      <c r="B1680" s="66">
        <v>2085.0</v>
      </c>
      <c r="C1680" s="66">
        <v>1.0</v>
      </c>
      <c r="D1680" s="66" t="s">
        <v>204</v>
      </c>
      <c r="E1680" s="66">
        <v>1.0</v>
      </c>
      <c r="F1680" s="66">
        <v>0.5134</v>
      </c>
      <c r="G1680" s="66">
        <v>0.2708</v>
      </c>
      <c r="I1680" s="81">
        <f t="shared" si="8"/>
        <v>0.8958641064</v>
      </c>
      <c r="J1680" s="81">
        <f t="shared" si="4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204</v>
      </c>
      <c r="E1681" s="66">
        <v>0.0</v>
      </c>
      <c r="F1681" s="66">
        <v>0.5425</v>
      </c>
      <c r="G1681" s="66">
        <v>0.2945</v>
      </c>
      <c r="I1681" s="81">
        <f t="shared" si="8"/>
        <v>0.8421052632</v>
      </c>
      <c r="J1681" s="81">
        <f t="shared" si="4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205</v>
      </c>
      <c r="E1682" s="66">
        <v>0.0</v>
      </c>
      <c r="F1682" s="66">
        <v>0.883</v>
      </c>
      <c r="G1682" s="66">
        <v>0.4317</v>
      </c>
      <c r="I1682" s="81">
        <f t="shared" si="8"/>
        <v>1.045401899</v>
      </c>
      <c r="J1682" s="81">
        <f t="shared" si="4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205</v>
      </c>
      <c r="E1683" s="66">
        <v>0.0</v>
      </c>
      <c r="F1683" s="66">
        <v>1.18134</v>
      </c>
      <c r="G1683" s="66">
        <v>0.9237</v>
      </c>
      <c r="I1683" s="81">
        <f t="shared" si="8"/>
        <v>0.2789217278</v>
      </c>
      <c r="J1683" s="81">
        <f t="shared" si="4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204</v>
      </c>
      <c r="E1684" s="66">
        <v>0.0</v>
      </c>
      <c r="F1684" s="66">
        <v>0.852</v>
      </c>
      <c r="G1684" s="66">
        <v>0.4542</v>
      </c>
      <c r="I1684" s="81">
        <f t="shared" si="8"/>
        <v>0.8758256275</v>
      </c>
      <c r="J1684" s="81">
        <f t="shared" si="4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204</v>
      </c>
      <c r="E1685" s="66">
        <v>1.0</v>
      </c>
      <c r="F1685" s="66">
        <v>0.3501</v>
      </c>
      <c r="G1685" s="66">
        <v>0.1808</v>
      </c>
      <c r="I1685" s="81">
        <f t="shared" si="8"/>
        <v>0.9363938053</v>
      </c>
      <c r="J1685" s="81">
        <f t="shared" si="4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205</v>
      </c>
      <c r="E1686" s="66">
        <v>0.0</v>
      </c>
      <c r="F1686" s="66">
        <v>0.6512</v>
      </c>
      <c r="G1686" s="66">
        <v>0.334</v>
      </c>
      <c r="I1686" s="81">
        <f t="shared" si="8"/>
        <v>0.9497005988</v>
      </c>
      <c r="J1686" s="81">
        <f t="shared" si="4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204</v>
      </c>
      <c r="E1687" s="66">
        <v>0.0</v>
      </c>
      <c r="F1687" s="66">
        <v>0.4502</v>
      </c>
      <c r="G1687" s="66">
        <v>0.2422</v>
      </c>
      <c r="I1687" s="81">
        <f t="shared" si="8"/>
        <v>0.8587943848</v>
      </c>
      <c r="J1687" s="81">
        <f t="shared" si="4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204</v>
      </c>
      <c r="E1688" s="66">
        <v>1.0</v>
      </c>
      <c r="F1688" s="66">
        <v>0.488</v>
      </c>
      <c r="G1688" s="66">
        <v>0.2627</v>
      </c>
      <c r="I1688" s="81">
        <f t="shared" si="8"/>
        <v>0.8576322802</v>
      </c>
      <c r="J1688" s="81">
        <f t="shared" si="4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204</v>
      </c>
      <c r="E1689" s="66">
        <v>0.0</v>
      </c>
      <c r="F1689" s="66">
        <v>0.2004</v>
      </c>
      <c r="G1689" s="66">
        <v>0.0991</v>
      </c>
      <c r="I1689" s="81">
        <f t="shared" si="8"/>
        <v>1.022199798</v>
      </c>
      <c r="J1689" s="81">
        <f t="shared" si="4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205</v>
      </c>
      <c r="E1690" s="66">
        <v>0.0</v>
      </c>
      <c r="F1690" s="66">
        <v>1.7045</v>
      </c>
      <c r="G1690" s="66">
        <v>0.9304</v>
      </c>
      <c r="I1690" s="81">
        <f t="shared" si="8"/>
        <v>0.8320077386</v>
      </c>
      <c r="J1690" s="81">
        <f t="shared" si="4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204</v>
      </c>
      <c r="E1691" s="66">
        <v>1.0</v>
      </c>
      <c r="F1691" s="66">
        <v>0.4902</v>
      </c>
      <c r="G1691" s="66">
        <v>0.2649</v>
      </c>
      <c r="I1691" s="81">
        <f t="shared" si="8"/>
        <v>0.8505096263</v>
      </c>
      <c r="J1691" s="81">
        <f t="shared" si="4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205</v>
      </c>
      <c r="E1692" s="66">
        <v>1.0</v>
      </c>
      <c r="F1692" s="66">
        <v>1.9935</v>
      </c>
      <c r="G1692" s="66">
        <v>1.1867</v>
      </c>
      <c r="I1692" s="81">
        <f t="shared" si="8"/>
        <v>0.679868543</v>
      </c>
      <c r="J1692" s="81">
        <f t="shared" si="4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204</v>
      </c>
      <c r="E1693" s="66">
        <v>0.0</v>
      </c>
      <c r="F1693" s="66">
        <v>0.2756</v>
      </c>
      <c r="G1693" s="66">
        <v>0.1305</v>
      </c>
      <c r="I1693" s="81">
        <f t="shared" si="8"/>
        <v>1.111877395</v>
      </c>
      <c r="J1693" s="81">
        <f t="shared" si="4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205</v>
      </c>
      <c r="E1694" s="66">
        <v>1.0</v>
      </c>
      <c r="F1694" s="66">
        <v>0.4901</v>
      </c>
      <c r="G1694" s="66">
        <v>0.291</v>
      </c>
      <c r="I1694" s="81">
        <f t="shared" si="8"/>
        <v>0.6841924399</v>
      </c>
      <c r="J1694" s="81">
        <f t="shared" si="4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204</v>
      </c>
      <c r="E1695" s="66">
        <v>1.0</v>
      </c>
      <c r="F1695" s="66">
        <v>0.2262</v>
      </c>
      <c r="G1695" s="66">
        <v>0.1257</v>
      </c>
      <c r="I1695" s="81">
        <f t="shared" si="8"/>
        <v>0.799522673</v>
      </c>
      <c r="J1695" s="81">
        <f t="shared" si="4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205</v>
      </c>
      <c r="E1696" s="66">
        <v>0.0</v>
      </c>
      <c r="F1696" s="66">
        <v>1.2384</v>
      </c>
      <c r="G1696" s="66">
        <v>0.691</v>
      </c>
      <c r="I1696" s="81">
        <f t="shared" si="8"/>
        <v>0.7921852388</v>
      </c>
      <c r="J1696" s="81">
        <f t="shared" si="4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204</v>
      </c>
      <c r="E1697" s="66">
        <v>1.0</v>
      </c>
      <c r="F1697" s="66">
        <v>0.1557</v>
      </c>
      <c r="G1697" s="66">
        <v>0.0823</v>
      </c>
      <c r="I1697" s="81">
        <f t="shared" si="8"/>
        <v>0.8918590522</v>
      </c>
      <c r="J1697" s="81">
        <f t="shared" si="4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204</v>
      </c>
      <c r="E1698" s="66">
        <v>0.0</v>
      </c>
      <c r="F1698" s="66">
        <v>0.1724</v>
      </c>
      <c r="G1698" s="66">
        <v>0.0901</v>
      </c>
      <c r="I1698" s="81">
        <f t="shared" si="8"/>
        <v>0.9134295228</v>
      </c>
      <c r="J1698" s="81">
        <f t="shared" si="4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205</v>
      </c>
      <c r="E1699" s="66">
        <v>1.0</v>
      </c>
      <c r="F1699" s="66">
        <v>0.5033</v>
      </c>
      <c r="G1699" s="66">
        <v>0.304</v>
      </c>
      <c r="I1699" s="81">
        <f t="shared" si="8"/>
        <v>0.6555921053</v>
      </c>
      <c r="J1699" s="81">
        <f t="shared" si="4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205</v>
      </c>
      <c r="E1700" s="66">
        <v>0.0</v>
      </c>
      <c r="F1700" s="66">
        <v>1.0009</v>
      </c>
      <c r="G1700" s="66">
        <v>0.568</v>
      </c>
      <c r="I1700" s="81">
        <f t="shared" si="8"/>
        <v>0.7621478873</v>
      </c>
      <c r="J1700" s="81">
        <f t="shared" si="4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204</v>
      </c>
      <c r="E1701" s="66">
        <v>0.0</v>
      </c>
      <c r="F1701" s="66">
        <v>0.475</v>
      </c>
      <c r="G1701" s="66">
        <v>0.2511</v>
      </c>
      <c r="I1701" s="81">
        <f t="shared" si="8"/>
        <v>0.8916766229</v>
      </c>
      <c r="J1701" s="81">
        <f t="shared" si="4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205</v>
      </c>
      <c r="E1702" s="66">
        <v>0.0</v>
      </c>
      <c r="F1702" s="66">
        <v>1.4716</v>
      </c>
      <c r="G1702" s="66">
        <v>0.7863</v>
      </c>
      <c r="I1702" s="81">
        <f t="shared" si="8"/>
        <v>0.8715502989</v>
      </c>
      <c r="J1702" s="81">
        <f t="shared" si="4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204</v>
      </c>
      <c r="E1703" s="66">
        <v>1.0</v>
      </c>
      <c r="F1703" s="66">
        <v>0.2399</v>
      </c>
      <c r="G1703" s="66">
        <v>0.127</v>
      </c>
      <c r="I1703" s="81">
        <f t="shared" si="8"/>
        <v>0.888976378</v>
      </c>
      <c r="J1703" s="81">
        <f t="shared" si="4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205</v>
      </c>
      <c r="E1704" s="66">
        <v>0.0</v>
      </c>
      <c r="F1704" s="66">
        <v>1.3619</v>
      </c>
      <c r="G1704" s="66">
        <v>0.7027</v>
      </c>
      <c r="I1704" s="81">
        <f t="shared" si="8"/>
        <v>0.9380959158</v>
      </c>
      <c r="J1704" s="81">
        <f t="shared" si="4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204</v>
      </c>
      <c r="E1705" s="66">
        <v>0.0</v>
      </c>
      <c r="F1705" s="66">
        <v>0.2469</v>
      </c>
      <c r="G1705" s="66">
        <v>0.1332</v>
      </c>
      <c r="I1705" s="81">
        <f t="shared" si="8"/>
        <v>0.8536036036</v>
      </c>
      <c r="J1705" s="81">
        <f t="shared" si="4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204</v>
      </c>
      <c r="E1706" s="66">
        <v>1.0</v>
      </c>
      <c r="F1706" s="66">
        <v>0.2508</v>
      </c>
      <c r="G1706" s="66">
        <v>0.1312</v>
      </c>
      <c r="I1706" s="81">
        <f t="shared" si="8"/>
        <v>0.9115853659</v>
      </c>
      <c r="J1706" s="81">
        <f t="shared" si="4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204</v>
      </c>
      <c r="E1707" s="66">
        <v>0.0</v>
      </c>
      <c r="F1707" s="66">
        <v>0.3165</v>
      </c>
      <c r="G1707" s="66">
        <v>0.1573</v>
      </c>
      <c r="I1707" s="81">
        <f t="shared" si="8"/>
        <v>1.01207883</v>
      </c>
      <c r="J1707" s="81">
        <f t="shared" si="4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205</v>
      </c>
      <c r="E1708" s="66">
        <v>0.0</v>
      </c>
      <c r="F1708" s="66">
        <v>1.3541</v>
      </c>
      <c r="G1708" s="66">
        <v>0.6994</v>
      </c>
      <c r="I1708" s="81">
        <f t="shared" si="8"/>
        <v>0.9360880755</v>
      </c>
      <c r="J1708" s="81">
        <f t="shared" si="4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204</v>
      </c>
      <c r="E1709" s="66">
        <v>1.0</v>
      </c>
      <c r="F1709" s="66">
        <v>0.5078</v>
      </c>
      <c r="G1709" s="66">
        <v>0.2613</v>
      </c>
      <c r="I1709" s="81">
        <f t="shared" si="8"/>
        <v>0.9433601225</v>
      </c>
      <c r="J1709" s="81">
        <f t="shared" si="4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204</v>
      </c>
      <c r="E1710" s="66">
        <v>1.0</v>
      </c>
      <c r="F1710" s="66">
        <v>0.4216</v>
      </c>
      <c r="G1710" s="66">
        <v>0.2165</v>
      </c>
      <c r="I1710" s="81">
        <f t="shared" si="8"/>
        <v>0.9473441109</v>
      </c>
      <c r="J1710" s="81">
        <f t="shared" si="4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205</v>
      </c>
      <c r="E1711" s="66">
        <v>0.0</v>
      </c>
      <c r="F1711" s="66">
        <v>0.2598</v>
      </c>
      <c r="G1711" s="66">
        <v>0.1263</v>
      </c>
      <c r="I1711" s="81">
        <f t="shared" si="8"/>
        <v>1.057007126</v>
      </c>
      <c r="J1711" s="81">
        <f t="shared" si="4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204</v>
      </c>
      <c r="E1712" s="66">
        <v>0.0</v>
      </c>
      <c r="F1712" s="66">
        <v>0.0497</v>
      </c>
      <c r="G1712" s="66">
        <v>0.0237</v>
      </c>
      <c r="I1712" s="81">
        <f t="shared" si="8"/>
        <v>1.097046414</v>
      </c>
      <c r="J1712" s="81">
        <f t="shared" si="4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205</v>
      </c>
      <c r="E1713" s="66">
        <v>0.0</v>
      </c>
      <c r="F1713" s="66">
        <v>0.1917</v>
      </c>
      <c r="G1713" s="66">
        <v>0.0942</v>
      </c>
      <c r="I1713" s="81">
        <f t="shared" si="8"/>
        <v>1.035031847</v>
      </c>
      <c r="J1713" s="81">
        <f t="shared" si="4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204</v>
      </c>
      <c r="E1714" s="66">
        <v>0.0</v>
      </c>
      <c r="F1714" s="66">
        <v>0.2537</v>
      </c>
      <c r="G1714" s="66">
        <v>0.1275</v>
      </c>
      <c r="I1714" s="81">
        <f t="shared" si="8"/>
        <v>0.9898039216</v>
      </c>
      <c r="J1714" s="81">
        <f t="shared" si="4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204</v>
      </c>
      <c r="E1715" s="66">
        <v>1.0</v>
      </c>
      <c r="F1715" s="66">
        <v>0.2562</v>
      </c>
      <c r="G1715" s="66">
        <v>0.1275</v>
      </c>
      <c r="I1715" s="81">
        <f t="shared" si="8"/>
        <v>1.009411765</v>
      </c>
      <c r="J1715" s="81">
        <f t="shared" si="4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205</v>
      </c>
      <c r="E1716" s="66">
        <v>0.0</v>
      </c>
      <c r="F1716" s="66">
        <v>0.2292</v>
      </c>
      <c r="G1716" s="66">
        <v>0.1135</v>
      </c>
      <c r="I1716" s="81">
        <f t="shared" si="8"/>
        <v>1.01938326</v>
      </c>
      <c r="J1716" s="81">
        <f t="shared" si="4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204</v>
      </c>
      <c r="E1717" s="66">
        <v>0.0</v>
      </c>
      <c r="F1717" s="66">
        <v>0.0637</v>
      </c>
      <c r="G1717" s="66">
        <v>0.0315</v>
      </c>
      <c r="I1717" s="81">
        <f t="shared" si="8"/>
        <v>1.022222222</v>
      </c>
      <c r="J1717" s="81">
        <f t="shared" si="4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204</v>
      </c>
      <c r="E1718" s="66">
        <v>1.0</v>
      </c>
      <c r="F1718" s="66">
        <v>0.2442</v>
      </c>
      <c r="G1718" s="66">
        <v>0.1272</v>
      </c>
      <c r="I1718" s="81">
        <f t="shared" si="8"/>
        <v>0.9198113208</v>
      </c>
      <c r="J1718" s="81">
        <f t="shared" si="4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204</v>
      </c>
      <c r="E1719" s="66">
        <v>0.0</v>
      </c>
      <c r="F1719" s="66">
        <v>0.1947</v>
      </c>
      <c r="G1719" s="66">
        <v>0.0956</v>
      </c>
      <c r="I1719" s="81">
        <f t="shared" si="8"/>
        <v>1.036610879</v>
      </c>
      <c r="J1719" s="81">
        <f t="shared" si="4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205</v>
      </c>
      <c r="E1720" s="66">
        <v>0.0</v>
      </c>
      <c r="F1720" s="66">
        <v>1.5501</v>
      </c>
      <c r="G1720" s="66">
        <v>0.735</v>
      </c>
      <c r="I1720" s="81">
        <f t="shared" si="8"/>
        <v>1.108979592</v>
      </c>
      <c r="J1720" s="81">
        <f t="shared" si="4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204</v>
      </c>
      <c r="E1721" s="66">
        <v>1.0</v>
      </c>
      <c r="F1721" s="66">
        <v>0.4399</v>
      </c>
      <c r="G1721" s="66">
        <v>0.191</v>
      </c>
      <c r="I1721" s="81">
        <f t="shared" si="8"/>
        <v>1.303141361</v>
      </c>
      <c r="J1721" s="81">
        <f t="shared" si="4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205</v>
      </c>
      <c r="E1722" s="66">
        <v>0.0</v>
      </c>
      <c r="F1722" s="66">
        <v>1.136</v>
      </c>
      <c r="G1722" s="66">
        <v>0.5475</v>
      </c>
      <c r="I1722" s="81">
        <f t="shared" si="8"/>
        <v>1.074885845</v>
      </c>
      <c r="J1722" s="81">
        <f t="shared" si="4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204</v>
      </c>
      <c r="E1723" s="66">
        <v>0.0</v>
      </c>
      <c r="F1723" s="66">
        <v>0.1078</v>
      </c>
      <c r="G1723" s="66">
        <v>0.0575</v>
      </c>
      <c r="I1723" s="81">
        <f t="shared" si="8"/>
        <v>0.8747826087</v>
      </c>
      <c r="J1723" s="81">
        <f t="shared" si="4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204</v>
      </c>
      <c r="E1724" s="66">
        <v>1.0</v>
      </c>
      <c r="F1724" s="66">
        <v>0.3749</v>
      </c>
      <c r="G1724" s="66">
        <v>0.1781</v>
      </c>
      <c r="I1724" s="81">
        <f t="shared" si="8"/>
        <v>1.104997193</v>
      </c>
      <c r="J1724" s="81">
        <f t="shared" si="4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204</v>
      </c>
      <c r="E1725" s="66">
        <v>0.0</v>
      </c>
      <c r="F1725" s="66">
        <v>0.2293</v>
      </c>
      <c r="G1725" s="66">
        <v>0.1085</v>
      </c>
      <c r="I1725" s="81">
        <f t="shared" si="8"/>
        <v>1.113364055</v>
      </c>
      <c r="J1725" s="81">
        <f t="shared" si="4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205</v>
      </c>
      <c r="E1726" s="66">
        <v>0.0</v>
      </c>
      <c r="F1726" s="66">
        <v>1.1259</v>
      </c>
      <c r="G1726" s="66">
        <v>0.5387</v>
      </c>
      <c r="I1726" s="81">
        <f t="shared" si="8"/>
        <v>1.090031557</v>
      </c>
      <c r="J1726" s="81">
        <f t="shared" si="4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204</v>
      </c>
      <c r="E1727" s="66">
        <v>1.0</v>
      </c>
      <c r="F1727" s="66">
        <v>0.8074</v>
      </c>
      <c r="G1727" s="66">
        <v>0.3687</v>
      </c>
      <c r="I1727" s="81">
        <f t="shared" si="8"/>
        <v>1.189856252</v>
      </c>
      <c r="J1727" s="81">
        <f t="shared" si="4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205</v>
      </c>
      <c r="E1728" s="66">
        <v>1.0</v>
      </c>
      <c r="F1728" s="66">
        <v>1.2911</v>
      </c>
      <c r="G1728" s="66">
        <v>0.8011</v>
      </c>
      <c r="I1728" s="81">
        <f t="shared" si="8"/>
        <v>0.6116589689</v>
      </c>
      <c r="J1728" s="81">
        <f t="shared" si="4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205</v>
      </c>
      <c r="E1729" s="66">
        <v>0.0</v>
      </c>
      <c r="F1729" s="66">
        <v>2.1263</v>
      </c>
      <c r="G1729" s="66">
        <v>1.1885</v>
      </c>
      <c r="I1729" s="81">
        <f t="shared" si="8"/>
        <v>0.7890618427</v>
      </c>
      <c r="J1729" s="81">
        <f t="shared" si="4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204</v>
      </c>
      <c r="E1730" s="66">
        <v>0.0</v>
      </c>
      <c r="F1730" s="66">
        <v>0.6903</v>
      </c>
      <c r="G1730" s="66">
        <v>0.3716</v>
      </c>
      <c r="I1730" s="81">
        <f t="shared" si="8"/>
        <v>0.8576426265</v>
      </c>
      <c r="J1730" s="81">
        <f t="shared" si="4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204</v>
      </c>
      <c r="E1731" s="66">
        <v>1.0</v>
      </c>
      <c r="F1731" s="66">
        <v>0.8116</v>
      </c>
      <c r="G1731" s="66">
        <v>0.4399</v>
      </c>
      <c r="I1731" s="81">
        <f t="shared" si="8"/>
        <v>0.8449647647</v>
      </c>
      <c r="J1731" s="81">
        <f t="shared" si="4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86" t="s">
        <v>178</v>
      </c>
      <c r="B1" s="86" t="s">
        <v>168</v>
      </c>
      <c r="C1" s="86" t="s">
        <v>223</v>
      </c>
      <c r="D1" s="86" t="s">
        <v>191</v>
      </c>
      <c r="E1" s="86" t="s">
        <v>170</v>
      </c>
      <c r="F1" s="86" t="s">
        <v>195</v>
      </c>
      <c r="G1" s="86" t="s">
        <v>196</v>
      </c>
      <c r="H1" s="86" t="s">
        <v>197</v>
      </c>
      <c r="I1" s="87" t="s">
        <v>224</v>
      </c>
      <c r="J1" s="66" t="s">
        <v>225</v>
      </c>
      <c r="K1" s="79" t="s">
        <v>240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8">
        <v>44635.0</v>
      </c>
      <c r="B2" s="89">
        <v>2380.0</v>
      </c>
      <c r="C2" s="89">
        <v>1.0</v>
      </c>
      <c r="D2" s="87" t="s">
        <v>205</v>
      </c>
      <c r="E2" s="87" t="s">
        <v>58</v>
      </c>
      <c r="F2" s="89">
        <v>3.071</v>
      </c>
      <c r="G2" s="89">
        <v>1.91</v>
      </c>
      <c r="H2" s="87" t="s">
        <v>228</v>
      </c>
      <c r="I2" s="90">
        <f t="shared" ref="I2:I1486" si="1">((F2-G2)/G2)</f>
        <v>0.6078534031</v>
      </c>
      <c r="J2" s="81">
        <f t="shared" ref="J2:J1486" si="2">G2/F2</f>
        <v>0.6219472485</v>
      </c>
    </row>
    <row r="3">
      <c r="A3" s="88">
        <v>44635.0</v>
      </c>
      <c r="B3" s="89">
        <v>2377.0</v>
      </c>
      <c r="C3" s="89">
        <v>1.0</v>
      </c>
      <c r="D3" s="87" t="s">
        <v>205</v>
      </c>
      <c r="E3" s="87" t="s">
        <v>58</v>
      </c>
      <c r="F3" s="89">
        <v>2.318</v>
      </c>
      <c r="G3" s="89">
        <v>1.438</v>
      </c>
      <c r="H3" s="87" t="s">
        <v>228</v>
      </c>
      <c r="I3" s="90">
        <f t="shared" si="1"/>
        <v>0.611961057</v>
      </c>
      <c r="J3" s="81">
        <f t="shared" si="2"/>
        <v>0.6203623814</v>
      </c>
    </row>
    <row r="4">
      <c r="A4" s="88">
        <v>44635.0</v>
      </c>
      <c r="B4" s="89">
        <v>2093.0</v>
      </c>
      <c r="C4" s="89">
        <v>1.0</v>
      </c>
      <c r="D4" s="87" t="s">
        <v>205</v>
      </c>
      <c r="E4" s="87" t="s">
        <v>58</v>
      </c>
      <c r="F4" s="89">
        <v>2.834</v>
      </c>
      <c r="G4" s="89">
        <v>1.748</v>
      </c>
      <c r="H4" s="87" t="s">
        <v>228</v>
      </c>
      <c r="I4" s="90">
        <f t="shared" si="1"/>
        <v>0.6212814645</v>
      </c>
      <c r="J4" s="81">
        <f t="shared" si="2"/>
        <v>0.616796048</v>
      </c>
    </row>
    <row r="5">
      <c r="A5" s="88">
        <v>44635.0</v>
      </c>
      <c r="B5" s="89">
        <v>2301.0</v>
      </c>
      <c r="C5" s="89">
        <v>1.0</v>
      </c>
      <c r="D5" s="87" t="s">
        <v>205</v>
      </c>
      <c r="E5" s="87" t="s">
        <v>58</v>
      </c>
      <c r="F5" s="89">
        <v>3.336</v>
      </c>
      <c r="G5" s="89">
        <v>2.012</v>
      </c>
      <c r="H5" s="87" t="s">
        <v>228</v>
      </c>
      <c r="I5" s="90">
        <f t="shared" si="1"/>
        <v>0.6580516899</v>
      </c>
      <c r="J5" s="81">
        <f t="shared" si="2"/>
        <v>0.603117506</v>
      </c>
    </row>
    <row r="6">
      <c r="A6" s="88">
        <v>44635.0</v>
      </c>
      <c r="B6" s="89">
        <v>2331.0</v>
      </c>
      <c r="C6" s="89">
        <v>1.0</v>
      </c>
      <c r="D6" s="87" t="s">
        <v>205</v>
      </c>
      <c r="E6" s="87" t="s">
        <v>58</v>
      </c>
      <c r="F6" s="89">
        <v>2.07</v>
      </c>
      <c r="G6" s="89">
        <v>1.224</v>
      </c>
      <c r="H6" s="87" t="s">
        <v>228</v>
      </c>
      <c r="I6" s="90">
        <f t="shared" si="1"/>
        <v>0.6911764706</v>
      </c>
      <c r="J6" s="81">
        <f t="shared" si="2"/>
        <v>0.5913043478</v>
      </c>
    </row>
    <row r="7">
      <c r="A7" s="88">
        <v>44635.0</v>
      </c>
      <c r="B7" s="89">
        <v>2089.0</v>
      </c>
      <c r="C7" s="89">
        <v>1.0</v>
      </c>
      <c r="D7" s="87" t="s">
        <v>205</v>
      </c>
      <c r="E7" s="87" t="s">
        <v>58</v>
      </c>
      <c r="F7" s="89">
        <v>5.437</v>
      </c>
      <c r="G7" s="89">
        <v>3.206</v>
      </c>
      <c r="H7" s="87" t="s">
        <v>228</v>
      </c>
      <c r="I7" s="90">
        <f t="shared" si="1"/>
        <v>0.6958827199</v>
      </c>
      <c r="J7" s="81">
        <f t="shared" si="2"/>
        <v>0.5896634173</v>
      </c>
    </row>
    <row r="8">
      <c r="A8" s="88">
        <v>44635.0</v>
      </c>
      <c r="B8" s="89">
        <v>2092.0</v>
      </c>
      <c r="C8" s="89">
        <v>1.0</v>
      </c>
      <c r="D8" s="87" t="s">
        <v>205</v>
      </c>
      <c r="E8" s="87" t="s">
        <v>58</v>
      </c>
      <c r="F8" s="89">
        <v>3.408</v>
      </c>
      <c r="G8" s="89">
        <v>2.008</v>
      </c>
      <c r="H8" s="87" t="s">
        <v>228</v>
      </c>
      <c r="I8" s="90">
        <f t="shared" si="1"/>
        <v>0.6972111554</v>
      </c>
      <c r="J8" s="81">
        <f t="shared" si="2"/>
        <v>0.5892018779</v>
      </c>
    </row>
    <row r="9">
      <c r="A9" s="88">
        <v>44635.0</v>
      </c>
      <c r="B9" s="89">
        <v>2345.0</v>
      </c>
      <c r="C9" s="89">
        <v>1.0</v>
      </c>
      <c r="D9" s="87" t="s">
        <v>205</v>
      </c>
      <c r="E9" s="87" t="s">
        <v>58</v>
      </c>
      <c r="F9" s="89">
        <v>2.032</v>
      </c>
      <c r="G9" s="89">
        <v>1.173</v>
      </c>
      <c r="H9" s="87" t="s">
        <v>228</v>
      </c>
      <c r="I9" s="90">
        <f t="shared" si="1"/>
        <v>0.7323103154</v>
      </c>
      <c r="J9" s="81">
        <f t="shared" si="2"/>
        <v>0.5772637795</v>
      </c>
    </row>
    <row r="10">
      <c r="A10" s="88">
        <v>44635.0</v>
      </c>
      <c r="B10" s="89">
        <v>2022.0</v>
      </c>
      <c r="C10" s="89">
        <v>1.0</v>
      </c>
      <c r="D10" s="87" t="s">
        <v>205</v>
      </c>
      <c r="E10" s="87" t="s">
        <v>58</v>
      </c>
      <c r="F10" s="89">
        <v>6.191</v>
      </c>
      <c r="G10" s="89">
        <v>3.347</v>
      </c>
      <c r="H10" s="87" t="s">
        <v>228</v>
      </c>
      <c r="I10" s="90">
        <f t="shared" si="1"/>
        <v>0.8497161637</v>
      </c>
      <c r="J10" s="81">
        <f t="shared" si="2"/>
        <v>0.5406234857</v>
      </c>
    </row>
    <row r="11">
      <c r="A11" s="88">
        <v>44635.0</v>
      </c>
      <c r="B11" s="89">
        <v>2023.0</v>
      </c>
      <c r="C11" s="89">
        <v>1.0</v>
      </c>
      <c r="D11" s="87" t="s">
        <v>205</v>
      </c>
      <c r="E11" s="87" t="s">
        <v>58</v>
      </c>
      <c r="F11" s="89">
        <v>4.063</v>
      </c>
      <c r="G11" s="89">
        <v>2.052</v>
      </c>
      <c r="H11" s="87" t="s">
        <v>228</v>
      </c>
      <c r="I11" s="90">
        <f t="shared" si="1"/>
        <v>0.9800194932</v>
      </c>
      <c r="J11" s="81">
        <f t="shared" si="2"/>
        <v>0.5050455329</v>
      </c>
    </row>
    <row r="12">
      <c r="A12" s="88">
        <v>44635.0</v>
      </c>
      <c r="B12" s="89">
        <v>2352.0</v>
      </c>
      <c r="C12" s="89">
        <v>1.0</v>
      </c>
      <c r="D12" s="87" t="s">
        <v>205</v>
      </c>
      <c r="E12" s="87" t="s">
        <v>58</v>
      </c>
      <c r="F12" s="89">
        <v>1.456</v>
      </c>
      <c r="G12" s="89">
        <v>0.696</v>
      </c>
      <c r="H12" s="87" t="s">
        <v>228</v>
      </c>
      <c r="I12" s="90">
        <f t="shared" si="1"/>
        <v>1.091954023</v>
      </c>
      <c r="J12" s="81">
        <f t="shared" si="2"/>
        <v>0.478021978</v>
      </c>
    </row>
    <row r="13">
      <c r="A13" s="88">
        <v>44635.0</v>
      </c>
      <c r="B13" s="89">
        <v>2025.0</v>
      </c>
      <c r="C13" s="89">
        <v>1.0</v>
      </c>
      <c r="D13" s="87" t="s">
        <v>205</v>
      </c>
      <c r="E13" s="89">
        <v>0.0</v>
      </c>
      <c r="F13" s="89">
        <v>2.182</v>
      </c>
      <c r="G13" s="89">
        <v>0.996</v>
      </c>
      <c r="H13" s="87" t="s">
        <v>228</v>
      </c>
      <c r="I13" s="90">
        <f t="shared" si="1"/>
        <v>1.190763052</v>
      </c>
      <c r="J13" s="81">
        <f t="shared" si="2"/>
        <v>0.4564619615</v>
      </c>
    </row>
    <row r="14">
      <c r="A14" s="88">
        <v>44635.0</v>
      </c>
      <c r="B14" s="89">
        <v>2026.0</v>
      </c>
      <c r="C14" s="89">
        <v>1.0</v>
      </c>
      <c r="D14" s="87" t="s">
        <v>205</v>
      </c>
      <c r="E14" s="87" t="s">
        <v>58</v>
      </c>
      <c r="F14" s="89">
        <v>2.311</v>
      </c>
      <c r="G14" s="89">
        <v>1.039</v>
      </c>
      <c r="H14" s="87" t="s">
        <v>228</v>
      </c>
      <c r="I14" s="90">
        <f t="shared" si="1"/>
        <v>1.22425409</v>
      </c>
      <c r="J14" s="81">
        <f t="shared" si="2"/>
        <v>0.4495889225</v>
      </c>
    </row>
    <row r="15">
      <c r="A15" s="88">
        <v>44635.0</v>
      </c>
      <c r="B15" s="89">
        <v>2021.0</v>
      </c>
      <c r="C15" s="89">
        <v>1.0</v>
      </c>
      <c r="D15" s="87" t="s">
        <v>205</v>
      </c>
      <c r="E15" s="89">
        <v>0.0</v>
      </c>
      <c r="F15" s="89">
        <v>2.96</v>
      </c>
      <c r="G15" s="89">
        <v>1.318</v>
      </c>
      <c r="H15" s="87" t="s">
        <v>228</v>
      </c>
      <c r="I15" s="90">
        <f t="shared" si="1"/>
        <v>1.245827011</v>
      </c>
      <c r="J15" s="81">
        <f t="shared" si="2"/>
        <v>0.4452702703</v>
      </c>
    </row>
    <row r="16">
      <c r="A16" s="88">
        <v>44635.0</v>
      </c>
      <c r="B16" s="89">
        <v>2378.0</v>
      </c>
      <c r="C16" s="89">
        <v>1.0</v>
      </c>
      <c r="D16" s="87" t="s">
        <v>205</v>
      </c>
      <c r="E16" s="89">
        <v>0.0</v>
      </c>
      <c r="F16" s="89">
        <v>2.656</v>
      </c>
      <c r="G16" s="89">
        <v>1.164</v>
      </c>
      <c r="H16" s="87" t="s">
        <v>228</v>
      </c>
      <c r="I16" s="90">
        <f t="shared" si="1"/>
        <v>1.281786942</v>
      </c>
      <c r="J16" s="81">
        <f t="shared" si="2"/>
        <v>0.438253012</v>
      </c>
    </row>
    <row r="17">
      <c r="A17" s="88">
        <v>44635.0</v>
      </c>
      <c r="B17" s="89">
        <v>2007.0</v>
      </c>
      <c r="C17" s="89">
        <v>1.0</v>
      </c>
      <c r="D17" s="87" t="s">
        <v>205</v>
      </c>
      <c r="E17" s="89">
        <v>0.0</v>
      </c>
      <c r="F17" s="89">
        <v>1.867</v>
      </c>
      <c r="G17" s="89">
        <v>0.815</v>
      </c>
      <c r="H17" s="87" t="s">
        <v>228</v>
      </c>
      <c r="I17" s="90">
        <f t="shared" si="1"/>
        <v>1.290797546</v>
      </c>
      <c r="J17" s="81">
        <f t="shared" si="2"/>
        <v>0.4365291912</v>
      </c>
    </row>
    <row r="18">
      <c r="A18" s="88">
        <v>44635.0</v>
      </c>
      <c r="B18" s="89">
        <v>2379.0</v>
      </c>
      <c r="C18" s="89">
        <v>1.0</v>
      </c>
      <c r="D18" s="87" t="s">
        <v>205</v>
      </c>
      <c r="E18" s="89">
        <v>0.0</v>
      </c>
      <c r="F18" s="89">
        <v>1.831</v>
      </c>
      <c r="G18" s="89">
        <v>0.796</v>
      </c>
      <c r="H18" s="87" t="s">
        <v>228</v>
      </c>
      <c r="I18" s="90">
        <f t="shared" si="1"/>
        <v>1.300251256</v>
      </c>
      <c r="J18" s="81">
        <f t="shared" si="2"/>
        <v>0.4347351174</v>
      </c>
    </row>
    <row r="19">
      <c r="A19" s="88">
        <v>44635.0</v>
      </c>
      <c r="B19" s="89">
        <v>2382.0</v>
      </c>
      <c r="C19" s="89">
        <v>1.0</v>
      </c>
      <c r="D19" s="87" t="s">
        <v>205</v>
      </c>
      <c r="E19" s="89">
        <v>0.0</v>
      </c>
      <c r="F19" s="89">
        <v>2.629</v>
      </c>
      <c r="G19" s="89">
        <v>1.12</v>
      </c>
      <c r="H19" s="87" t="s">
        <v>228</v>
      </c>
      <c r="I19" s="90">
        <f t="shared" si="1"/>
        <v>1.347321429</v>
      </c>
      <c r="J19" s="81">
        <f t="shared" si="2"/>
        <v>0.4260174971</v>
      </c>
    </row>
    <row r="20">
      <c r="A20" s="88">
        <v>44635.0</v>
      </c>
      <c r="B20" s="89">
        <v>2020.0</v>
      </c>
      <c r="C20" s="89">
        <v>1.0</v>
      </c>
      <c r="D20" s="87" t="s">
        <v>205</v>
      </c>
      <c r="E20" s="89">
        <v>0.0</v>
      </c>
      <c r="F20" s="89">
        <v>1.35</v>
      </c>
      <c r="G20" s="89">
        <v>0.563</v>
      </c>
      <c r="H20" s="87" t="s">
        <v>228</v>
      </c>
      <c r="I20" s="90">
        <f t="shared" si="1"/>
        <v>1.397868561</v>
      </c>
      <c r="J20" s="81">
        <f t="shared" si="2"/>
        <v>0.417037037</v>
      </c>
    </row>
    <row r="21">
      <c r="A21" s="88">
        <v>44635.0</v>
      </c>
      <c r="B21" s="89">
        <v>2027.0</v>
      </c>
      <c r="C21" s="89">
        <v>1.0</v>
      </c>
      <c r="D21" s="87" t="s">
        <v>205</v>
      </c>
      <c r="E21" s="89">
        <v>0.0</v>
      </c>
      <c r="F21" s="89">
        <v>1.648</v>
      </c>
      <c r="G21" s="89">
        <v>0.685</v>
      </c>
      <c r="H21" s="87" t="s">
        <v>228</v>
      </c>
      <c r="I21" s="90">
        <f t="shared" si="1"/>
        <v>1.405839416</v>
      </c>
      <c r="J21" s="81">
        <f t="shared" si="2"/>
        <v>0.4156553398</v>
      </c>
    </row>
    <row r="22">
      <c r="A22" s="88">
        <v>44635.0</v>
      </c>
      <c r="B22" s="89">
        <v>2024.0</v>
      </c>
      <c r="C22" s="89">
        <v>1.0</v>
      </c>
      <c r="D22" s="87" t="s">
        <v>205</v>
      </c>
      <c r="E22" s="89">
        <v>0.0</v>
      </c>
      <c r="F22" s="89">
        <v>1.626</v>
      </c>
      <c r="G22" s="89">
        <v>0.641</v>
      </c>
      <c r="H22" s="87" t="s">
        <v>228</v>
      </c>
      <c r="I22" s="90">
        <f t="shared" si="1"/>
        <v>1.536661466</v>
      </c>
      <c r="J22" s="81">
        <f t="shared" si="2"/>
        <v>0.3942189422</v>
      </c>
    </row>
    <row r="23">
      <c r="A23" s="88">
        <v>44635.0</v>
      </c>
      <c r="B23" s="89">
        <v>2005.0</v>
      </c>
      <c r="C23" s="89">
        <v>1.0</v>
      </c>
      <c r="D23" s="87" t="s">
        <v>205</v>
      </c>
      <c r="E23" s="89">
        <v>0.0</v>
      </c>
      <c r="F23" s="89">
        <v>2.684</v>
      </c>
      <c r="G23" s="89">
        <v>0.99</v>
      </c>
      <c r="H23" s="87" t="s">
        <v>228</v>
      </c>
      <c r="I23" s="90">
        <f t="shared" si="1"/>
        <v>1.711111111</v>
      </c>
      <c r="J23" s="81">
        <f t="shared" si="2"/>
        <v>0.368852459</v>
      </c>
    </row>
    <row r="24">
      <c r="A24" s="88">
        <v>44635.0</v>
      </c>
      <c r="B24" s="89">
        <v>2381.0</v>
      </c>
      <c r="C24" s="89">
        <v>1.0</v>
      </c>
      <c r="D24" s="87" t="s">
        <v>205</v>
      </c>
      <c r="E24" s="89">
        <v>0.0</v>
      </c>
      <c r="F24" s="89">
        <v>3.837</v>
      </c>
      <c r="G24" s="89">
        <v>1.394</v>
      </c>
      <c r="H24" s="87" t="s">
        <v>228</v>
      </c>
      <c r="I24" s="90">
        <f t="shared" si="1"/>
        <v>1.75251076</v>
      </c>
      <c r="J24" s="81">
        <f t="shared" si="2"/>
        <v>0.3633046651</v>
      </c>
    </row>
    <row r="25">
      <c r="A25" s="88">
        <v>44635.0</v>
      </c>
      <c r="B25" s="89">
        <v>2008.0</v>
      </c>
      <c r="C25" s="89">
        <v>1.0</v>
      </c>
      <c r="D25" s="87" t="s">
        <v>205</v>
      </c>
      <c r="E25" s="89">
        <v>0.0</v>
      </c>
      <c r="F25" s="89">
        <v>1.723</v>
      </c>
      <c r="G25" s="89">
        <v>0.614</v>
      </c>
      <c r="H25" s="87" t="s">
        <v>228</v>
      </c>
      <c r="I25" s="90">
        <f t="shared" si="1"/>
        <v>1.806188925</v>
      </c>
      <c r="J25" s="81">
        <f t="shared" si="2"/>
        <v>0.3563551944</v>
      </c>
    </row>
    <row r="26">
      <c r="A26" s="88">
        <v>44635.0</v>
      </c>
      <c r="B26" s="89">
        <v>2384.0</v>
      </c>
      <c r="C26" s="89">
        <v>1.0</v>
      </c>
      <c r="D26" s="87" t="s">
        <v>205</v>
      </c>
      <c r="E26" s="89">
        <v>0.0</v>
      </c>
      <c r="F26" s="89">
        <v>1.55</v>
      </c>
      <c r="G26" s="89">
        <v>0.549</v>
      </c>
      <c r="H26" s="87" t="s">
        <v>228</v>
      </c>
      <c r="I26" s="90">
        <f t="shared" si="1"/>
        <v>1.823315118</v>
      </c>
      <c r="J26" s="81">
        <f t="shared" si="2"/>
        <v>0.3541935484</v>
      </c>
    </row>
    <row r="27">
      <c r="A27" s="88">
        <v>44635.0</v>
      </c>
      <c r="B27" s="89">
        <v>2004.0</v>
      </c>
      <c r="C27" s="89">
        <v>1.0</v>
      </c>
      <c r="D27" s="87" t="s">
        <v>205</v>
      </c>
      <c r="E27" s="89">
        <v>0.0</v>
      </c>
      <c r="F27" s="89">
        <v>2.021</v>
      </c>
      <c r="G27" s="89">
        <v>0.707</v>
      </c>
      <c r="H27" s="87" t="s">
        <v>228</v>
      </c>
      <c r="I27" s="90">
        <f t="shared" si="1"/>
        <v>1.858557284</v>
      </c>
      <c r="J27" s="81">
        <f t="shared" si="2"/>
        <v>0.3498268184</v>
      </c>
    </row>
    <row r="28">
      <c r="A28" s="88">
        <v>44635.0</v>
      </c>
      <c r="B28" s="89">
        <v>2091.0</v>
      </c>
      <c r="C28" s="89">
        <v>1.0</v>
      </c>
      <c r="D28" s="87" t="s">
        <v>205</v>
      </c>
      <c r="E28" s="87" t="s">
        <v>58</v>
      </c>
      <c r="F28" s="87" t="s">
        <v>58</v>
      </c>
      <c r="G28" s="89">
        <v>1.94</v>
      </c>
      <c r="H28" s="87" t="s">
        <v>228</v>
      </c>
      <c r="I28" s="91" t="str">
        <f t="shared" si="1"/>
        <v>#VALUE!</v>
      </c>
      <c r="J28" s="81" t="str">
        <f t="shared" si="2"/>
        <v>#VALUE!</v>
      </c>
    </row>
    <row r="29">
      <c r="A29" s="88">
        <v>44650.0</v>
      </c>
      <c r="B29" s="89">
        <v>2352.0</v>
      </c>
      <c r="C29" s="89">
        <v>3.0</v>
      </c>
      <c r="D29" s="87" t="s">
        <v>205</v>
      </c>
      <c r="E29" s="87" t="s">
        <v>58</v>
      </c>
      <c r="F29" s="89">
        <v>0.6782</v>
      </c>
      <c r="G29" s="89">
        <v>0.437</v>
      </c>
      <c r="H29" s="87" t="s">
        <v>226</v>
      </c>
      <c r="I29" s="90">
        <f t="shared" si="1"/>
        <v>0.5519450801</v>
      </c>
      <c r="J29" s="81">
        <f t="shared" si="2"/>
        <v>0.6443526983</v>
      </c>
    </row>
    <row r="30">
      <c r="A30" s="88">
        <v>44650.0</v>
      </c>
      <c r="B30" s="89">
        <v>2352.0</v>
      </c>
      <c r="C30" s="89">
        <v>2.0</v>
      </c>
      <c r="D30" s="87" t="s">
        <v>205</v>
      </c>
      <c r="E30" s="87" t="s">
        <v>58</v>
      </c>
      <c r="F30" s="89">
        <v>0.8877</v>
      </c>
      <c r="G30" s="89">
        <v>0.562</v>
      </c>
      <c r="H30" s="87" t="s">
        <v>226</v>
      </c>
      <c r="I30" s="90">
        <f t="shared" si="1"/>
        <v>0.5795373665</v>
      </c>
      <c r="J30" s="81">
        <f t="shared" si="2"/>
        <v>0.6330967669</v>
      </c>
    </row>
    <row r="31">
      <c r="A31" s="88">
        <v>44650.0</v>
      </c>
      <c r="B31" s="89">
        <v>2352.0</v>
      </c>
      <c r="C31" s="89">
        <v>1.0</v>
      </c>
      <c r="D31" s="87" t="s">
        <v>205</v>
      </c>
      <c r="E31" s="87" t="s">
        <v>58</v>
      </c>
      <c r="F31" s="89">
        <v>0.5258</v>
      </c>
      <c r="G31" s="89">
        <v>0.323</v>
      </c>
      <c r="H31" s="87" t="s">
        <v>226</v>
      </c>
      <c r="I31" s="90">
        <f t="shared" si="1"/>
        <v>0.6278637771</v>
      </c>
      <c r="J31" s="81">
        <f t="shared" si="2"/>
        <v>0.614302016</v>
      </c>
    </row>
    <row r="32">
      <c r="A32" s="88">
        <v>44650.0</v>
      </c>
      <c r="B32" s="89">
        <v>2354.0</v>
      </c>
      <c r="C32" s="89">
        <v>3.0</v>
      </c>
      <c r="D32" s="87" t="s">
        <v>205</v>
      </c>
      <c r="E32" s="87" t="s">
        <v>58</v>
      </c>
      <c r="F32" s="89">
        <v>1.3947</v>
      </c>
      <c r="G32" s="89">
        <v>0.831</v>
      </c>
      <c r="H32" s="87" t="s">
        <v>226</v>
      </c>
      <c r="I32" s="90">
        <f t="shared" si="1"/>
        <v>0.6783393502</v>
      </c>
      <c r="J32" s="81">
        <f t="shared" si="2"/>
        <v>0.5958270596</v>
      </c>
    </row>
    <row r="33">
      <c r="A33" s="88">
        <v>44650.0</v>
      </c>
      <c r="B33" s="89">
        <v>2331.0</v>
      </c>
      <c r="C33" s="89">
        <v>1.0</v>
      </c>
      <c r="D33" s="87" t="s">
        <v>205</v>
      </c>
      <c r="E33" s="87" t="s">
        <v>58</v>
      </c>
      <c r="F33" s="89">
        <v>1.5339</v>
      </c>
      <c r="G33" s="89">
        <v>0.902</v>
      </c>
      <c r="H33" s="87" t="s">
        <v>226</v>
      </c>
      <c r="I33" s="90">
        <f t="shared" si="1"/>
        <v>0.7005543237</v>
      </c>
      <c r="J33" s="81">
        <f t="shared" si="2"/>
        <v>0.5880435491</v>
      </c>
    </row>
    <row r="34">
      <c r="A34" s="88">
        <v>44650.0</v>
      </c>
      <c r="B34" s="89">
        <v>2331.0</v>
      </c>
      <c r="C34" s="89">
        <v>2.0</v>
      </c>
      <c r="D34" s="87" t="s">
        <v>205</v>
      </c>
      <c r="E34" s="87" t="s">
        <v>58</v>
      </c>
      <c r="F34" s="89">
        <v>2.9236</v>
      </c>
      <c r="G34" s="89">
        <v>1.712</v>
      </c>
      <c r="H34" s="87" t="s">
        <v>226</v>
      </c>
      <c r="I34" s="90">
        <f t="shared" si="1"/>
        <v>0.7077102804</v>
      </c>
      <c r="J34" s="81">
        <f t="shared" si="2"/>
        <v>0.5855794226</v>
      </c>
    </row>
    <row r="35">
      <c r="A35" s="88">
        <v>44650.0</v>
      </c>
      <c r="B35" s="89">
        <v>2352.0</v>
      </c>
      <c r="C35" s="89">
        <v>2.0</v>
      </c>
      <c r="D35" s="87" t="s">
        <v>204</v>
      </c>
      <c r="E35" s="87" t="s">
        <v>58</v>
      </c>
      <c r="F35" s="89">
        <v>0.4619</v>
      </c>
      <c r="G35" s="89">
        <v>0.27</v>
      </c>
      <c r="H35" s="87" t="s">
        <v>226</v>
      </c>
      <c r="I35" s="90">
        <f t="shared" si="1"/>
        <v>0.7107407407</v>
      </c>
      <c r="J35" s="81">
        <f t="shared" si="2"/>
        <v>0.5845421087</v>
      </c>
    </row>
    <row r="36">
      <c r="A36" s="88">
        <v>44650.0</v>
      </c>
      <c r="B36" s="89">
        <v>2354.0</v>
      </c>
      <c r="C36" s="89">
        <v>1.0</v>
      </c>
      <c r="D36" s="87" t="s">
        <v>205</v>
      </c>
      <c r="E36" s="87" t="s">
        <v>58</v>
      </c>
      <c r="F36" s="89">
        <v>2.6446</v>
      </c>
      <c r="G36" s="89">
        <v>1.545</v>
      </c>
      <c r="H36" s="87" t="s">
        <v>226</v>
      </c>
      <c r="I36" s="90">
        <f t="shared" si="1"/>
        <v>0.7117152104</v>
      </c>
      <c r="J36" s="81">
        <f t="shared" si="2"/>
        <v>0.5842093322</v>
      </c>
    </row>
    <row r="37">
      <c r="A37" s="88">
        <v>44650.0</v>
      </c>
      <c r="B37" s="89">
        <v>2376.0</v>
      </c>
      <c r="C37" s="89">
        <v>2.0</v>
      </c>
      <c r="D37" s="87" t="s">
        <v>205</v>
      </c>
      <c r="E37" s="87" t="s">
        <v>58</v>
      </c>
      <c r="F37" s="89">
        <v>0.6154</v>
      </c>
      <c r="G37" s="89">
        <v>0.359</v>
      </c>
      <c r="H37" s="87" t="s">
        <v>226</v>
      </c>
      <c r="I37" s="90">
        <f t="shared" si="1"/>
        <v>0.7142061281</v>
      </c>
      <c r="J37" s="81">
        <f t="shared" si="2"/>
        <v>0.583360416</v>
      </c>
    </row>
    <row r="38">
      <c r="A38" s="88">
        <v>44650.0</v>
      </c>
      <c r="B38" s="89">
        <v>2377.0</v>
      </c>
      <c r="C38" s="89">
        <v>2.0</v>
      </c>
      <c r="D38" s="87" t="s">
        <v>205</v>
      </c>
      <c r="E38" s="87" t="s">
        <v>58</v>
      </c>
      <c r="F38" s="89">
        <v>0.6756</v>
      </c>
      <c r="G38" s="89">
        <v>0.392</v>
      </c>
      <c r="H38" s="87" t="s">
        <v>226</v>
      </c>
      <c r="I38" s="90">
        <f t="shared" si="1"/>
        <v>0.7234693878</v>
      </c>
      <c r="J38" s="81">
        <f t="shared" si="2"/>
        <v>0.5802249852</v>
      </c>
    </row>
    <row r="39">
      <c r="A39" s="88">
        <v>44650.0</v>
      </c>
      <c r="B39" s="89">
        <v>2380.0</v>
      </c>
      <c r="C39" s="89">
        <v>1.0</v>
      </c>
      <c r="D39" s="87" t="s">
        <v>205</v>
      </c>
      <c r="E39" s="87" t="s">
        <v>58</v>
      </c>
      <c r="F39" s="89">
        <v>0.7421</v>
      </c>
      <c r="G39" s="89">
        <v>0.43</v>
      </c>
      <c r="H39" s="87" t="s">
        <v>226</v>
      </c>
      <c r="I39" s="90">
        <f t="shared" si="1"/>
        <v>0.7258139535</v>
      </c>
      <c r="J39" s="81">
        <f t="shared" si="2"/>
        <v>0.5794367336</v>
      </c>
    </row>
    <row r="40">
      <c r="A40" s="88">
        <v>44650.0</v>
      </c>
      <c r="B40" s="89">
        <v>2380.0</v>
      </c>
      <c r="C40" s="89">
        <v>2.0</v>
      </c>
      <c r="D40" s="87" t="s">
        <v>205</v>
      </c>
      <c r="E40" s="87" t="s">
        <v>58</v>
      </c>
      <c r="F40" s="89">
        <v>2.6938</v>
      </c>
      <c r="G40" s="89">
        <v>1.56</v>
      </c>
      <c r="H40" s="87" t="s">
        <v>226</v>
      </c>
      <c r="I40" s="90">
        <f t="shared" si="1"/>
        <v>0.7267948718</v>
      </c>
      <c r="J40" s="81">
        <f t="shared" si="2"/>
        <v>0.5791075804</v>
      </c>
    </row>
    <row r="41">
      <c r="A41" s="88">
        <v>44650.0</v>
      </c>
      <c r="B41" s="89">
        <v>2376.0</v>
      </c>
      <c r="C41" s="89">
        <v>1.0</v>
      </c>
      <c r="D41" s="87" t="s">
        <v>205</v>
      </c>
      <c r="E41" s="87" t="s">
        <v>58</v>
      </c>
      <c r="F41" s="89">
        <v>3.3447</v>
      </c>
      <c r="G41" s="89">
        <v>1.933</v>
      </c>
      <c r="H41" s="87" t="s">
        <v>226</v>
      </c>
      <c r="I41" s="90">
        <f t="shared" si="1"/>
        <v>0.7303155717</v>
      </c>
      <c r="J41" s="81">
        <f t="shared" si="2"/>
        <v>0.5779292612</v>
      </c>
    </row>
    <row r="42">
      <c r="A42" s="88">
        <v>44650.0</v>
      </c>
      <c r="B42" s="89">
        <v>2354.0</v>
      </c>
      <c r="C42" s="89">
        <v>2.0</v>
      </c>
      <c r="D42" s="87" t="s">
        <v>205</v>
      </c>
      <c r="E42" s="87" t="s">
        <v>58</v>
      </c>
      <c r="F42" s="89">
        <v>3.0135</v>
      </c>
      <c r="G42" s="89">
        <v>1.735</v>
      </c>
      <c r="H42" s="87" t="s">
        <v>226</v>
      </c>
      <c r="I42" s="90">
        <f t="shared" si="1"/>
        <v>0.7368876081</v>
      </c>
      <c r="J42" s="81">
        <f t="shared" si="2"/>
        <v>0.5757424921</v>
      </c>
    </row>
    <row r="43">
      <c r="A43" s="88">
        <v>44650.0</v>
      </c>
      <c r="B43" s="89">
        <v>2380.0</v>
      </c>
      <c r="C43" s="89">
        <v>3.0</v>
      </c>
      <c r="D43" s="87" t="s">
        <v>205</v>
      </c>
      <c r="E43" s="87" t="s">
        <v>58</v>
      </c>
      <c r="F43" s="89">
        <v>2.1783</v>
      </c>
      <c r="G43" s="89">
        <v>1.252</v>
      </c>
      <c r="H43" s="87" t="s">
        <v>226</v>
      </c>
      <c r="I43" s="90">
        <f t="shared" si="1"/>
        <v>0.73985623</v>
      </c>
      <c r="J43" s="81">
        <f t="shared" si="2"/>
        <v>0.574760134</v>
      </c>
    </row>
    <row r="44">
      <c r="A44" s="88">
        <v>44650.0</v>
      </c>
      <c r="B44" s="89">
        <v>2377.0</v>
      </c>
      <c r="C44" s="89">
        <v>3.0</v>
      </c>
      <c r="D44" s="87" t="s">
        <v>205</v>
      </c>
      <c r="E44" s="87" t="s">
        <v>58</v>
      </c>
      <c r="F44" s="89">
        <v>1.7253</v>
      </c>
      <c r="G44" s="89">
        <v>0.991</v>
      </c>
      <c r="H44" s="87" t="s">
        <v>226</v>
      </c>
      <c r="I44" s="90">
        <f t="shared" si="1"/>
        <v>0.7409687185</v>
      </c>
      <c r="J44" s="81">
        <f t="shared" si="2"/>
        <v>0.5743928592</v>
      </c>
    </row>
    <row r="45">
      <c r="A45" s="88">
        <v>44650.0</v>
      </c>
      <c r="B45" s="89">
        <v>2376.0</v>
      </c>
      <c r="C45" s="89">
        <v>3.0</v>
      </c>
      <c r="D45" s="87" t="s">
        <v>205</v>
      </c>
      <c r="E45" s="87" t="s">
        <v>58</v>
      </c>
      <c r="F45" s="89">
        <v>1.4186</v>
      </c>
      <c r="G45" s="89">
        <v>0.807</v>
      </c>
      <c r="H45" s="87" t="s">
        <v>226</v>
      </c>
      <c r="I45" s="90">
        <f t="shared" si="1"/>
        <v>0.7578686493</v>
      </c>
      <c r="J45" s="81">
        <f t="shared" si="2"/>
        <v>0.5688707176</v>
      </c>
    </row>
    <row r="46">
      <c r="A46" s="88">
        <v>44650.0</v>
      </c>
      <c r="B46" s="89">
        <v>2301.0</v>
      </c>
      <c r="C46" s="89">
        <v>1.0</v>
      </c>
      <c r="D46" s="87" t="s">
        <v>205</v>
      </c>
      <c r="E46" s="87" t="s">
        <v>58</v>
      </c>
      <c r="F46" s="89">
        <v>1.6583</v>
      </c>
      <c r="G46" s="89">
        <v>0.941</v>
      </c>
      <c r="H46" s="87" t="s">
        <v>226</v>
      </c>
      <c r="I46" s="90">
        <f t="shared" si="1"/>
        <v>0.7622741764</v>
      </c>
      <c r="J46" s="81">
        <f t="shared" si="2"/>
        <v>0.5674485919</v>
      </c>
    </row>
    <row r="47">
      <c r="A47" s="88">
        <v>44650.0</v>
      </c>
      <c r="B47" s="89">
        <v>2377.0</v>
      </c>
      <c r="C47" s="89">
        <v>1.0</v>
      </c>
      <c r="D47" s="87" t="s">
        <v>205</v>
      </c>
      <c r="E47" s="87" t="s">
        <v>58</v>
      </c>
      <c r="F47" s="89">
        <v>0.9263</v>
      </c>
      <c r="G47" s="89">
        <v>0.523</v>
      </c>
      <c r="H47" s="87" t="s">
        <v>226</v>
      </c>
      <c r="I47" s="90">
        <f t="shared" si="1"/>
        <v>0.7711281071</v>
      </c>
      <c r="J47" s="81">
        <f t="shared" si="2"/>
        <v>0.5646118968</v>
      </c>
    </row>
    <row r="48">
      <c r="A48" s="88">
        <v>44650.0</v>
      </c>
      <c r="B48" s="89">
        <v>2301.0</v>
      </c>
      <c r="C48" s="89">
        <v>3.0</v>
      </c>
      <c r="D48" s="87" t="s">
        <v>205</v>
      </c>
      <c r="E48" s="87" t="s">
        <v>58</v>
      </c>
      <c r="F48" s="89">
        <v>1.4681</v>
      </c>
      <c r="G48" s="89">
        <v>0.824</v>
      </c>
      <c r="H48" s="87" t="s">
        <v>226</v>
      </c>
      <c r="I48" s="90">
        <f t="shared" si="1"/>
        <v>0.7816747573</v>
      </c>
      <c r="J48" s="81">
        <f t="shared" si="2"/>
        <v>0.5612696683</v>
      </c>
    </row>
    <row r="49">
      <c r="A49" s="88">
        <v>44650.0</v>
      </c>
      <c r="B49" s="89">
        <v>2331.0</v>
      </c>
      <c r="C49" s="89">
        <v>3.0</v>
      </c>
      <c r="D49" s="87" t="s">
        <v>205</v>
      </c>
      <c r="E49" s="87" t="s">
        <v>58</v>
      </c>
      <c r="F49" s="89">
        <v>0.9921</v>
      </c>
      <c r="G49" s="89">
        <v>0.554</v>
      </c>
      <c r="H49" s="87" t="s">
        <v>226</v>
      </c>
      <c r="I49" s="90">
        <f t="shared" si="1"/>
        <v>0.7907942238</v>
      </c>
      <c r="J49" s="81">
        <f t="shared" si="2"/>
        <v>0.5584114505</v>
      </c>
    </row>
    <row r="50">
      <c r="A50" s="88">
        <v>44650.0</v>
      </c>
      <c r="B50" s="89">
        <v>2352.0</v>
      </c>
      <c r="C50" s="89">
        <v>1.0</v>
      </c>
      <c r="D50" s="87" t="s">
        <v>204</v>
      </c>
      <c r="E50" s="87" t="s">
        <v>58</v>
      </c>
      <c r="F50" s="89">
        <v>0.3123</v>
      </c>
      <c r="G50" s="89">
        <v>0.174</v>
      </c>
      <c r="H50" s="87" t="s">
        <v>226</v>
      </c>
      <c r="I50" s="90">
        <f t="shared" si="1"/>
        <v>0.7948275862</v>
      </c>
      <c r="J50" s="81">
        <f t="shared" si="2"/>
        <v>0.5571565802</v>
      </c>
    </row>
    <row r="51">
      <c r="A51" s="88">
        <v>44650.0</v>
      </c>
      <c r="B51" s="89">
        <v>2301.0</v>
      </c>
      <c r="C51" s="89">
        <v>2.0</v>
      </c>
      <c r="D51" s="87" t="s">
        <v>205</v>
      </c>
      <c r="E51" s="87" t="s">
        <v>58</v>
      </c>
      <c r="F51" s="89">
        <v>1.2179</v>
      </c>
      <c r="G51" s="89">
        <v>0.678</v>
      </c>
      <c r="H51" s="87" t="s">
        <v>226</v>
      </c>
      <c r="I51" s="90">
        <f t="shared" si="1"/>
        <v>0.7963126844</v>
      </c>
      <c r="J51" s="81">
        <f t="shared" si="2"/>
        <v>0.556695952</v>
      </c>
    </row>
    <row r="52">
      <c r="A52" s="88">
        <v>44650.0</v>
      </c>
      <c r="B52" s="89">
        <v>2345.0</v>
      </c>
      <c r="C52" s="89">
        <v>1.0</v>
      </c>
      <c r="D52" s="87" t="s">
        <v>205</v>
      </c>
      <c r="E52" s="87" t="s">
        <v>58</v>
      </c>
      <c r="F52" s="89">
        <v>2.1683</v>
      </c>
      <c r="G52" s="89">
        <v>1.205</v>
      </c>
      <c r="H52" s="87" t="s">
        <v>226</v>
      </c>
      <c r="I52" s="90">
        <f t="shared" si="1"/>
        <v>0.7994190871</v>
      </c>
      <c r="J52" s="81">
        <f t="shared" si="2"/>
        <v>0.5557349075</v>
      </c>
    </row>
    <row r="53">
      <c r="A53" s="88">
        <v>44650.0</v>
      </c>
      <c r="B53" s="89">
        <v>2345.0</v>
      </c>
      <c r="C53" s="89">
        <v>3.0</v>
      </c>
      <c r="D53" s="87" t="s">
        <v>205</v>
      </c>
      <c r="E53" s="87" t="s">
        <v>58</v>
      </c>
      <c r="F53" s="89">
        <v>1.72</v>
      </c>
      <c r="G53" s="89">
        <v>0.955</v>
      </c>
      <c r="H53" s="87" t="s">
        <v>226</v>
      </c>
      <c r="I53" s="90">
        <f t="shared" si="1"/>
        <v>0.8010471204</v>
      </c>
      <c r="J53" s="81">
        <f t="shared" si="2"/>
        <v>0.5552325581</v>
      </c>
    </row>
    <row r="54">
      <c r="A54" s="88">
        <v>44650.0</v>
      </c>
      <c r="B54" s="89">
        <v>2352.0</v>
      </c>
      <c r="C54" s="89">
        <v>3.0</v>
      </c>
      <c r="D54" s="87" t="s">
        <v>204</v>
      </c>
      <c r="E54" s="87" t="s">
        <v>58</v>
      </c>
      <c r="F54" s="89">
        <v>0.2042</v>
      </c>
      <c r="G54" s="89">
        <v>0.113</v>
      </c>
      <c r="H54" s="87" t="s">
        <v>226</v>
      </c>
      <c r="I54" s="90">
        <f t="shared" si="1"/>
        <v>0.807079646</v>
      </c>
      <c r="J54" s="81">
        <f t="shared" si="2"/>
        <v>0.5533790402</v>
      </c>
    </row>
    <row r="55">
      <c r="A55" s="88">
        <v>44650.0</v>
      </c>
      <c r="B55" s="89">
        <v>2331.0</v>
      </c>
      <c r="C55" s="89">
        <v>1.0</v>
      </c>
      <c r="D55" s="87" t="s">
        <v>204</v>
      </c>
      <c r="E55" s="89">
        <v>1.0</v>
      </c>
      <c r="F55" s="89">
        <v>0.2848</v>
      </c>
      <c r="G55" s="89">
        <v>0.157</v>
      </c>
      <c r="H55" s="87" t="s">
        <v>226</v>
      </c>
      <c r="I55" s="90">
        <f t="shared" si="1"/>
        <v>0.8140127389</v>
      </c>
      <c r="J55" s="81">
        <f t="shared" si="2"/>
        <v>0.5512640449</v>
      </c>
    </row>
    <row r="56">
      <c r="A56" s="88">
        <v>44650.0</v>
      </c>
      <c r="B56" s="89">
        <v>2331.0</v>
      </c>
      <c r="C56" s="89">
        <v>2.0</v>
      </c>
      <c r="D56" s="87" t="s">
        <v>204</v>
      </c>
      <c r="E56" s="87" t="s">
        <v>58</v>
      </c>
      <c r="F56" s="89">
        <v>0.3717</v>
      </c>
      <c r="G56" s="89">
        <v>0.203</v>
      </c>
      <c r="H56" s="87" t="s">
        <v>226</v>
      </c>
      <c r="I56" s="90">
        <f t="shared" si="1"/>
        <v>0.8310344828</v>
      </c>
      <c r="J56" s="81">
        <f t="shared" si="2"/>
        <v>0.5461393597</v>
      </c>
    </row>
    <row r="57">
      <c r="A57" s="88">
        <v>44650.0</v>
      </c>
      <c r="B57" s="89">
        <v>2380.0</v>
      </c>
      <c r="C57" s="89">
        <v>1.0</v>
      </c>
      <c r="D57" s="87" t="s">
        <v>204</v>
      </c>
      <c r="E57" s="87" t="s">
        <v>58</v>
      </c>
      <c r="F57" s="89">
        <v>0.2038</v>
      </c>
      <c r="G57" s="89">
        <v>0.109</v>
      </c>
      <c r="H57" s="87" t="s">
        <v>226</v>
      </c>
      <c r="I57" s="90">
        <f t="shared" si="1"/>
        <v>0.8697247706</v>
      </c>
      <c r="J57" s="81">
        <f t="shared" si="2"/>
        <v>0.5348380765</v>
      </c>
    </row>
    <row r="58">
      <c r="A58" s="88">
        <v>44650.0</v>
      </c>
      <c r="B58" s="89">
        <v>2345.0</v>
      </c>
      <c r="C58" s="89">
        <v>1.0</v>
      </c>
      <c r="D58" s="87" t="s">
        <v>204</v>
      </c>
      <c r="E58" s="87" t="s">
        <v>58</v>
      </c>
      <c r="F58" s="89">
        <v>0.3408</v>
      </c>
      <c r="G58" s="89">
        <v>0.182</v>
      </c>
      <c r="H58" s="87" t="s">
        <v>226</v>
      </c>
      <c r="I58" s="90">
        <f t="shared" si="1"/>
        <v>0.8725274725</v>
      </c>
      <c r="J58" s="81">
        <f t="shared" si="2"/>
        <v>0.5340375587</v>
      </c>
    </row>
    <row r="59">
      <c r="A59" s="88">
        <v>44650.0</v>
      </c>
      <c r="B59" s="89">
        <v>2345.0</v>
      </c>
      <c r="C59" s="89">
        <v>3.0</v>
      </c>
      <c r="D59" s="87" t="s">
        <v>204</v>
      </c>
      <c r="E59" s="87" t="s">
        <v>58</v>
      </c>
      <c r="F59" s="89">
        <v>0.2855</v>
      </c>
      <c r="G59" s="89">
        <v>0.152</v>
      </c>
      <c r="H59" s="87" t="s">
        <v>226</v>
      </c>
      <c r="I59" s="90">
        <f t="shared" si="1"/>
        <v>0.8782894737</v>
      </c>
      <c r="J59" s="81">
        <f t="shared" si="2"/>
        <v>0.5323992995</v>
      </c>
    </row>
    <row r="60">
      <c r="A60" s="88">
        <v>44650.0</v>
      </c>
      <c r="B60" s="89">
        <v>2376.0</v>
      </c>
      <c r="C60" s="89">
        <v>1.0</v>
      </c>
      <c r="D60" s="87" t="s">
        <v>204</v>
      </c>
      <c r="E60" s="87" t="s">
        <v>58</v>
      </c>
      <c r="F60" s="89">
        <v>0.3454</v>
      </c>
      <c r="G60" s="89">
        <v>0.183</v>
      </c>
      <c r="H60" s="87" t="s">
        <v>226</v>
      </c>
      <c r="I60" s="90">
        <f t="shared" si="1"/>
        <v>0.887431694</v>
      </c>
      <c r="J60" s="81">
        <f t="shared" si="2"/>
        <v>0.529820498</v>
      </c>
    </row>
    <row r="61">
      <c r="A61" s="88">
        <v>44650.0</v>
      </c>
      <c r="B61" s="89">
        <v>2376.0</v>
      </c>
      <c r="C61" s="89">
        <v>2.0</v>
      </c>
      <c r="D61" s="87" t="s">
        <v>204</v>
      </c>
      <c r="E61" s="87" t="s">
        <v>58</v>
      </c>
      <c r="F61" s="89">
        <v>0.1322</v>
      </c>
      <c r="G61" s="89">
        <v>0.07</v>
      </c>
      <c r="H61" s="87" t="s">
        <v>226</v>
      </c>
      <c r="I61" s="90">
        <f t="shared" si="1"/>
        <v>0.8885714286</v>
      </c>
      <c r="J61" s="81">
        <f t="shared" si="2"/>
        <v>0.5295007564</v>
      </c>
    </row>
    <row r="62">
      <c r="A62" s="88">
        <v>44650.0</v>
      </c>
      <c r="B62" s="89">
        <v>2331.0</v>
      </c>
      <c r="C62" s="89">
        <v>3.0</v>
      </c>
      <c r="D62" s="87" t="s">
        <v>204</v>
      </c>
      <c r="E62" s="87" t="s">
        <v>58</v>
      </c>
      <c r="F62" s="89">
        <v>0.169</v>
      </c>
      <c r="G62" s="89">
        <v>0.089</v>
      </c>
      <c r="H62" s="87" t="s">
        <v>226</v>
      </c>
      <c r="I62" s="90">
        <f t="shared" si="1"/>
        <v>0.8988764045</v>
      </c>
      <c r="J62" s="81">
        <f t="shared" si="2"/>
        <v>0.5266272189</v>
      </c>
    </row>
    <row r="63">
      <c r="A63" s="88">
        <v>44650.0</v>
      </c>
      <c r="B63" s="89">
        <v>2380.0</v>
      </c>
      <c r="C63" s="89">
        <v>2.0</v>
      </c>
      <c r="D63" s="87" t="s">
        <v>204</v>
      </c>
      <c r="E63" s="87" t="s">
        <v>58</v>
      </c>
      <c r="F63" s="89">
        <v>0.7461</v>
      </c>
      <c r="G63" s="89">
        <v>0.392</v>
      </c>
      <c r="H63" s="87" t="s">
        <v>226</v>
      </c>
      <c r="I63" s="90">
        <f t="shared" si="1"/>
        <v>0.9033163265</v>
      </c>
      <c r="J63" s="81">
        <f t="shared" si="2"/>
        <v>0.5253987401</v>
      </c>
    </row>
    <row r="64">
      <c r="A64" s="88">
        <v>44650.0</v>
      </c>
      <c r="B64" s="89">
        <v>2354.0</v>
      </c>
      <c r="C64" s="89">
        <v>1.0</v>
      </c>
      <c r="D64" s="87" t="s">
        <v>204</v>
      </c>
      <c r="E64" s="87" t="s">
        <v>58</v>
      </c>
      <c r="F64" s="89">
        <v>0.3465</v>
      </c>
      <c r="G64" s="89">
        <v>0.181</v>
      </c>
      <c r="H64" s="87" t="s">
        <v>226</v>
      </c>
      <c r="I64" s="90">
        <f t="shared" si="1"/>
        <v>0.9143646409</v>
      </c>
      <c r="J64" s="81">
        <f t="shared" si="2"/>
        <v>0.5223665224</v>
      </c>
    </row>
    <row r="65">
      <c r="A65" s="88">
        <v>44650.0</v>
      </c>
      <c r="B65" s="89">
        <v>2345.0</v>
      </c>
      <c r="C65" s="89">
        <v>2.0</v>
      </c>
      <c r="D65" s="87" t="s">
        <v>204</v>
      </c>
      <c r="E65" s="87" t="s">
        <v>58</v>
      </c>
      <c r="F65" s="89">
        <v>0.5154</v>
      </c>
      <c r="G65" s="89">
        <v>0.269</v>
      </c>
      <c r="H65" s="87" t="s">
        <v>226</v>
      </c>
      <c r="I65" s="90">
        <f t="shared" si="1"/>
        <v>0.9159851301</v>
      </c>
      <c r="J65" s="81">
        <f t="shared" si="2"/>
        <v>0.5219247187</v>
      </c>
    </row>
    <row r="66">
      <c r="A66" s="88">
        <v>44650.0</v>
      </c>
      <c r="B66" s="89">
        <v>2376.0</v>
      </c>
      <c r="C66" s="89">
        <v>3.0</v>
      </c>
      <c r="D66" s="87" t="s">
        <v>204</v>
      </c>
      <c r="E66" s="87" t="s">
        <v>58</v>
      </c>
      <c r="F66" s="89">
        <v>0.2343</v>
      </c>
      <c r="G66" s="89">
        <v>0.121</v>
      </c>
      <c r="H66" s="87" t="s">
        <v>226</v>
      </c>
      <c r="I66" s="90">
        <f t="shared" si="1"/>
        <v>0.9363636364</v>
      </c>
      <c r="J66" s="81">
        <f t="shared" si="2"/>
        <v>0.5164319249</v>
      </c>
    </row>
    <row r="67">
      <c r="A67" s="88">
        <v>44650.0</v>
      </c>
      <c r="B67" s="89">
        <v>2380.0</v>
      </c>
      <c r="C67" s="89">
        <v>3.0</v>
      </c>
      <c r="D67" s="87" t="s">
        <v>204</v>
      </c>
      <c r="E67" s="89">
        <v>1.0</v>
      </c>
      <c r="F67" s="89">
        <v>0.5144</v>
      </c>
      <c r="G67" s="89">
        <v>0.265</v>
      </c>
      <c r="H67" s="87" t="s">
        <v>226</v>
      </c>
      <c r="I67" s="90">
        <f t="shared" si="1"/>
        <v>0.9411320755</v>
      </c>
      <c r="J67" s="81">
        <f t="shared" si="2"/>
        <v>0.515163297</v>
      </c>
    </row>
    <row r="68">
      <c r="A68" s="88">
        <v>44650.0</v>
      </c>
      <c r="B68" s="89">
        <v>2377.0</v>
      </c>
      <c r="C68" s="89">
        <v>3.0</v>
      </c>
      <c r="D68" s="87" t="s">
        <v>204</v>
      </c>
      <c r="E68" s="87" t="s">
        <v>58</v>
      </c>
      <c r="F68" s="89">
        <v>0.439</v>
      </c>
      <c r="G68" s="89">
        <v>0.226</v>
      </c>
      <c r="H68" s="87" t="s">
        <v>226</v>
      </c>
      <c r="I68" s="90">
        <f t="shared" si="1"/>
        <v>0.9424778761</v>
      </c>
      <c r="J68" s="81">
        <f t="shared" si="2"/>
        <v>0.5148063781</v>
      </c>
    </row>
    <row r="69">
      <c r="A69" s="88">
        <v>44650.0</v>
      </c>
      <c r="B69" s="89">
        <v>2301.0</v>
      </c>
      <c r="C69" s="89">
        <v>3.0</v>
      </c>
      <c r="D69" s="87" t="s">
        <v>204</v>
      </c>
      <c r="E69" s="87" t="s">
        <v>58</v>
      </c>
      <c r="F69" s="89">
        <v>0.1074</v>
      </c>
      <c r="G69" s="89">
        <v>0.055</v>
      </c>
      <c r="H69" s="87" t="s">
        <v>226</v>
      </c>
      <c r="I69" s="90">
        <f t="shared" si="1"/>
        <v>0.9527272727</v>
      </c>
      <c r="J69" s="81">
        <f t="shared" si="2"/>
        <v>0.5121042831</v>
      </c>
    </row>
    <row r="70">
      <c r="A70" s="88">
        <v>44650.0</v>
      </c>
      <c r="B70" s="89">
        <v>2367.0</v>
      </c>
      <c r="C70" s="89">
        <v>3.0</v>
      </c>
      <c r="D70" s="87" t="s">
        <v>204</v>
      </c>
      <c r="E70" s="89">
        <v>1.0</v>
      </c>
      <c r="F70" s="89">
        <v>0.3833</v>
      </c>
      <c r="G70" s="89">
        <v>0.195</v>
      </c>
      <c r="H70" s="87" t="s">
        <v>226</v>
      </c>
      <c r="I70" s="90">
        <f t="shared" si="1"/>
        <v>0.9656410256</v>
      </c>
      <c r="J70" s="81">
        <f t="shared" si="2"/>
        <v>0.5087398904</v>
      </c>
    </row>
    <row r="71">
      <c r="A71" s="88">
        <v>44650.0</v>
      </c>
      <c r="B71" s="89">
        <v>2301.0</v>
      </c>
      <c r="C71" s="89">
        <v>1.0</v>
      </c>
      <c r="D71" s="87" t="s">
        <v>204</v>
      </c>
      <c r="E71" s="87" t="s">
        <v>58</v>
      </c>
      <c r="F71" s="89">
        <v>0.0985</v>
      </c>
      <c r="G71" s="89">
        <v>0.05</v>
      </c>
      <c r="H71" s="87" t="s">
        <v>226</v>
      </c>
      <c r="I71" s="90">
        <f t="shared" si="1"/>
        <v>0.97</v>
      </c>
      <c r="J71" s="81">
        <f t="shared" si="2"/>
        <v>0.5076142132</v>
      </c>
    </row>
    <row r="72">
      <c r="A72" s="88">
        <v>44650.0</v>
      </c>
      <c r="B72" s="89">
        <v>2354.0</v>
      </c>
      <c r="C72" s="89">
        <v>3.0</v>
      </c>
      <c r="D72" s="87" t="s">
        <v>204</v>
      </c>
      <c r="E72" s="87" t="s">
        <v>58</v>
      </c>
      <c r="F72" s="89">
        <v>0.1783</v>
      </c>
      <c r="G72" s="89">
        <v>0.09</v>
      </c>
      <c r="H72" s="87" t="s">
        <v>226</v>
      </c>
      <c r="I72" s="90">
        <f t="shared" si="1"/>
        <v>0.9811111111</v>
      </c>
      <c r="J72" s="81">
        <f t="shared" si="2"/>
        <v>0.5047672462</v>
      </c>
    </row>
    <row r="73">
      <c r="A73" s="88">
        <v>44650.0</v>
      </c>
      <c r="B73" s="89">
        <v>2354.0</v>
      </c>
      <c r="C73" s="89">
        <v>2.0</v>
      </c>
      <c r="D73" s="87" t="s">
        <v>204</v>
      </c>
      <c r="E73" s="89">
        <v>1.0</v>
      </c>
      <c r="F73" s="89">
        <v>0.4271</v>
      </c>
      <c r="G73" s="89">
        <v>0.213</v>
      </c>
      <c r="H73" s="87" t="s">
        <v>226</v>
      </c>
      <c r="I73" s="90">
        <f t="shared" si="1"/>
        <v>1.005164319</v>
      </c>
      <c r="J73" s="81">
        <f t="shared" si="2"/>
        <v>0.4987122454</v>
      </c>
    </row>
    <row r="74">
      <c r="A74" s="88">
        <v>44650.0</v>
      </c>
      <c r="B74" s="89">
        <v>2379.0</v>
      </c>
      <c r="C74" s="89">
        <v>1.0</v>
      </c>
      <c r="D74" s="87" t="s">
        <v>204</v>
      </c>
      <c r="E74" s="89">
        <v>1.0</v>
      </c>
      <c r="F74" s="89">
        <v>0.1385</v>
      </c>
      <c r="G74" s="89">
        <v>0.069</v>
      </c>
      <c r="H74" s="87" t="s">
        <v>226</v>
      </c>
      <c r="I74" s="90">
        <f t="shared" si="1"/>
        <v>1.007246377</v>
      </c>
      <c r="J74" s="81">
        <f t="shared" si="2"/>
        <v>0.4981949458</v>
      </c>
    </row>
    <row r="75">
      <c r="A75" s="88">
        <v>44650.0</v>
      </c>
      <c r="B75" s="89">
        <v>2377.0</v>
      </c>
      <c r="C75" s="89">
        <v>2.0</v>
      </c>
      <c r="D75" s="87" t="s">
        <v>204</v>
      </c>
      <c r="E75" s="87" t="s">
        <v>58</v>
      </c>
      <c r="F75" s="89">
        <v>0.205</v>
      </c>
      <c r="G75" s="89">
        <v>0.102</v>
      </c>
      <c r="H75" s="87" t="s">
        <v>226</v>
      </c>
      <c r="I75" s="90">
        <f t="shared" si="1"/>
        <v>1.009803922</v>
      </c>
      <c r="J75" s="81">
        <f t="shared" si="2"/>
        <v>0.4975609756</v>
      </c>
    </row>
    <row r="76">
      <c r="A76" s="88">
        <v>44650.0</v>
      </c>
      <c r="B76" s="89">
        <v>2301.0</v>
      </c>
      <c r="C76" s="89">
        <v>2.0</v>
      </c>
      <c r="D76" s="87" t="s">
        <v>204</v>
      </c>
      <c r="E76" s="87" t="s">
        <v>58</v>
      </c>
      <c r="F76" s="89">
        <v>0.1217</v>
      </c>
      <c r="G76" s="89">
        <v>0.06</v>
      </c>
      <c r="H76" s="87" t="s">
        <v>226</v>
      </c>
      <c r="I76" s="90">
        <f t="shared" si="1"/>
        <v>1.028333333</v>
      </c>
      <c r="J76" s="81">
        <f t="shared" si="2"/>
        <v>0.4930156122</v>
      </c>
    </row>
    <row r="77">
      <c r="A77" s="88">
        <v>44650.0</v>
      </c>
      <c r="B77" s="89">
        <v>2379.0</v>
      </c>
      <c r="C77" s="89">
        <v>2.0</v>
      </c>
      <c r="D77" s="87" t="s">
        <v>204</v>
      </c>
      <c r="E77" s="89">
        <v>1.0</v>
      </c>
      <c r="F77" s="89">
        <v>0.2988</v>
      </c>
      <c r="G77" s="89">
        <v>0.146</v>
      </c>
      <c r="H77" s="87" t="s">
        <v>226</v>
      </c>
      <c r="I77" s="90">
        <f t="shared" si="1"/>
        <v>1.046575342</v>
      </c>
      <c r="J77" s="81">
        <f t="shared" si="2"/>
        <v>0.4886211513</v>
      </c>
    </row>
    <row r="78">
      <c r="A78" s="88">
        <v>44650.0</v>
      </c>
      <c r="B78" s="89">
        <v>2369.0</v>
      </c>
      <c r="C78" s="89">
        <v>2.0</v>
      </c>
      <c r="D78" s="87" t="s">
        <v>204</v>
      </c>
      <c r="E78" s="89">
        <v>1.0</v>
      </c>
      <c r="F78" s="89">
        <v>0.0616</v>
      </c>
      <c r="G78" s="89">
        <v>0.03</v>
      </c>
      <c r="H78" s="87" t="s">
        <v>226</v>
      </c>
      <c r="I78" s="90">
        <f t="shared" si="1"/>
        <v>1.053333333</v>
      </c>
      <c r="J78" s="81">
        <f t="shared" si="2"/>
        <v>0.487012987</v>
      </c>
    </row>
    <row r="79">
      <c r="A79" s="88">
        <v>44650.0</v>
      </c>
      <c r="B79" s="89">
        <v>2009.0</v>
      </c>
      <c r="C79" s="89">
        <v>1.0</v>
      </c>
      <c r="D79" s="87" t="s">
        <v>204</v>
      </c>
      <c r="E79" s="89">
        <v>1.0</v>
      </c>
      <c r="F79" s="89">
        <v>0.4792</v>
      </c>
      <c r="G79" s="89">
        <v>0.232</v>
      </c>
      <c r="H79" s="87" t="s">
        <v>226</v>
      </c>
      <c r="I79" s="90">
        <f t="shared" si="1"/>
        <v>1.065517241</v>
      </c>
      <c r="J79" s="81">
        <f t="shared" si="2"/>
        <v>0.4841402337</v>
      </c>
    </row>
    <row r="80">
      <c r="A80" s="88">
        <v>44650.0</v>
      </c>
      <c r="B80" s="89">
        <v>2009.0</v>
      </c>
      <c r="C80" s="89">
        <v>2.0</v>
      </c>
      <c r="D80" s="87" t="s">
        <v>204</v>
      </c>
      <c r="E80" s="89">
        <v>1.0</v>
      </c>
      <c r="F80" s="89">
        <v>0.5181</v>
      </c>
      <c r="G80" s="89">
        <v>0.247</v>
      </c>
      <c r="H80" s="87" t="s">
        <v>226</v>
      </c>
      <c r="I80" s="90">
        <f t="shared" si="1"/>
        <v>1.09757085</v>
      </c>
      <c r="J80" s="81">
        <f t="shared" si="2"/>
        <v>0.4767419417</v>
      </c>
    </row>
    <row r="81">
      <c r="A81" s="88">
        <v>44650.0</v>
      </c>
      <c r="B81" s="89">
        <v>2346.0</v>
      </c>
      <c r="C81" s="89">
        <v>3.0</v>
      </c>
      <c r="D81" s="87" t="s">
        <v>204</v>
      </c>
      <c r="E81" s="89">
        <v>1.0</v>
      </c>
      <c r="F81" s="89">
        <v>0.1199</v>
      </c>
      <c r="G81" s="89">
        <v>0.057</v>
      </c>
      <c r="H81" s="87" t="s">
        <v>226</v>
      </c>
      <c r="I81" s="90">
        <f t="shared" si="1"/>
        <v>1.103508772</v>
      </c>
      <c r="J81" s="81">
        <f t="shared" si="2"/>
        <v>0.4753961635</v>
      </c>
    </row>
    <row r="82">
      <c r="A82" s="88">
        <v>44650.0</v>
      </c>
      <c r="B82" s="89">
        <v>2364.0</v>
      </c>
      <c r="C82" s="89">
        <v>1.0</v>
      </c>
      <c r="D82" s="87" t="s">
        <v>204</v>
      </c>
      <c r="E82" s="89">
        <v>1.0</v>
      </c>
      <c r="F82" s="89">
        <v>0.0484</v>
      </c>
      <c r="G82" s="89">
        <v>0.023</v>
      </c>
      <c r="H82" s="87" t="s">
        <v>226</v>
      </c>
      <c r="I82" s="90">
        <f t="shared" si="1"/>
        <v>1.104347826</v>
      </c>
      <c r="J82" s="81">
        <f t="shared" si="2"/>
        <v>0.4752066116</v>
      </c>
    </row>
    <row r="83">
      <c r="A83" s="88">
        <v>44650.0</v>
      </c>
      <c r="B83" s="89">
        <v>2378.0</v>
      </c>
      <c r="C83" s="89">
        <v>1.0</v>
      </c>
      <c r="D83" s="87" t="s">
        <v>204</v>
      </c>
      <c r="E83" s="89">
        <v>1.0</v>
      </c>
      <c r="F83" s="89">
        <v>0.3643</v>
      </c>
      <c r="G83" s="89">
        <v>0.173</v>
      </c>
      <c r="H83" s="87" t="s">
        <v>226</v>
      </c>
      <c r="I83" s="90">
        <f t="shared" si="1"/>
        <v>1.105780347</v>
      </c>
      <c r="J83" s="81">
        <f t="shared" si="2"/>
        <v>0.4748833379</v>
      </c>
    </row>
    <row r="84">
      <c r="A84" s="88">
        <v>44650.0</v>
      </c>
      <c r="B84" s="89">
        <v>2379.0</v>
      </c>
      <c r="C84" s="89">
        <v>3.0</v>
      </c>
      <c r="D84" s="87" t="s">
        <v>204</v>
      </c>
      <c r="E84" s="89">
        <v>1.0</v>
      </c>
      <c r="F84" s="89">
        <v>0.2668</v>
      </c>
      <c r="G84" s="89">
        <v>0.126</v>
      </c>
      <c r="H84" s="87" t="s">
        <v>226</v>
      </c>
      <c r="I84" s="90">
        <f t="shared" si="1"/>
        <v>1.117460317</v>
      </c>
      <c r="J84" s="81">
        <f t="shared" si="2"/>
        <v>0.4722638681</v>
      </c>
    </row>
    <row r="85">
      <c r="A85" s="88">
        <v>44650.0</v>
      </c>
      <c r="B85" s="89">
        <v>2346.0</v>
      </c>
      <c r="C85" s="89">
        <v>1.0</v>
      </c>
      <c r="D85" s="87" t="s">
        <v>204</v>
      </c>
      <c r="E85" s="89">
        <v>1.0</v>
      </c>
      <c r="F85" s="89">
        <v>0.5421</v>
      </c>
      <c r="G85" s="89">
        <v>0.256</v>
      </c>
      <c r="H85" s="87" t="s">
        <v>226</v>
      </c>
      <c r="I85" s="90">
        <f t="shared" si="1"/>
        <v>1.117578125</v>
      </c>
      <c r="J85" s="81">
        <f t="shared" si="2"/>
        <v>0.4722375945</v>
      </c>
    </row>
    <row r="86">
      <c r="A86" s="88">
        <v>44650.0</v>
      </c>
      <c r="B86" s="89">
        <v>2346.0</v>
      </c>
      <c r="C86" s="89">
        <v>2.0</v>
      </c>
      <c r="D86" s="87" t="s">
        <v>204</v>
      </c>
      <c r="E86" s="89">
        <v>1.0</v>
      </c>
      <c r="F86" s="89">
        <v>0.3374</v>
      </c>
      <c r="G86" s="89">
        <v>0.159</v>
      </c>
      <c r="H86" s="87" t="s">
        <v>226</v>
      </c>
      <c r="I86" s="90">
        <f t="shared" si="1"/>
        <v>1.122012579</v>
      </c>
      <c r="J86" s="81">
        <f t="shared" si="2"/>
        <v>0.471250741</v>
      </c>
    </row>
    <row r="87">
      <c r="A87" s="88">
        <v>44650.0</v>
      </c>
      <c r="B87" s="89">
        <v>2371.0</v>
      </c>
      <c r="C87" s="89">
        <v>2.0</v>
      </c>
      <c r="D87" s="87" t="s">
        <v>204</v>
      </c>
      <c r="E87" s="87" t="s">
        <v>58</v>
      </c>
      <c r="F87" s="89">
        <v>0.1912</v>
      </c>
      <c r="G87" s="89">
        <v>0.09</v>
      </c>
      <c r="H87" s="87" t="s">
        <v>226</v>
      </c>
      <c r="I87" s="90">
        <f t="shared" si="1"/>
        <v>1.124444444</v>
      </c>
      <c r="J87" s="81">
        <f t="shared" si="2"/>
        <v>0.4707112971</v>
      </c>
    </row>
    <row r="88">
      <c r="A88" s="88">
        <v>44650.0</v>
      </c>
      <c r="B88" s="89">
        <v>2378.0</v>
      </c>
      <c r="C88" s="89">
        <v>2.0</v>
      </c>
      <c r="D88" s="87" t="s">
        <v>205</v>
      </c>
      <c r="E88" s="87" t="s">
        <v>58</v>
      </c>
      <c r="F88" s="89">
        <v>1.1207</v>
      </c>
      <c r="G88" s="89">
        <v>0.525</v>
      </c>
      <c r="H88" s="87" t="s">
        <v>226</v>
      </c>
      <c r="I88" s="90">
        <f t="shared" si="1"/>
        <v>1.134666667</v>
      </c>
      <c r="J88" s="81">
        <f t="shared" si="2"/>
        <v>0.4684572142</v>
      </c>
    </row>
    <row r="89">
      <c r="A89" s="88">
        <v>44650.0</v>
      </c>
      <c r="B89" s="89">
        <v>2009.0</v>
      </c>
      <c r="C89" s="89">
        <v>3.0</v>
      </c>
      <c r="D89" s="87" t="s">
        <v>204</v>
      </c>
      <c r="E89" s="89">
        <v>1.0</v>
      </c>
      <c r="F89" s="89">
        <v>0.678</v>
      </c>
      <c r="G89" s="89">
        <v>0.317</v>
      </c>
      <c r="H89" s="87" t="s">
        <v>226</v>
      </c>
      <c r="I89" s="90">
        <f t="shared" si="1"/>
        <v>1.138801262</v>
      </c>
      <c r="J89" s="81">
        <f t="shared" si="2"/>
        <v>0.4675516224</v>
      </c>
    </row>
    <row r="90">
      <c r="A90" s="88">
        <v>44650.0</v>
      </c>
      <c r="B90" s="89">
        <v>2379.0</v>
      </c>
      <c r="C90" s="89">
        <v>1.0</v>
      </c>
      <c r="D90" s="87" t="s">
        <v>205</v>
      </c>
      <c r="E90" s="87" t="s">
        <v>58</v>
      </c>
      <c r="F90" s="89">
        <v>0.2175</v>
      </c>
      <c r="G90" s="89">
        <v>0.101</v>
      </c>
      <c r="H90" s="87" t="s">
        <v>226</v>
      </c>
      <c r="I90" s="90">
        <f t="shared" si="1"/>
        <v>1.153465347</v>
      </c>
      <c r="J90" s="81">
        <f t="shared" si="2"/>
        <v>0.4643678161</v>
      </c>
    </row>
    <row r="91">
      <c r="A91" s="88">
        <v>44650.0</v>
      </c>
      <c r="B91" s="89">
        <v>2378.0</v>
      </c>
      <c r="C91" s="89">
        <v>3.0</v>
      </c>
      <c r="D91" s="87" t="s">
        <v>205</v>
      </c>
      <c r="E91" s="87" t="s">
        <v>58</v>
      </c>
      <c r="F91" s="89">
        <v>0.273</v>
      </c>
      <c r="G91" s="89">
        <v>0.126</v>
      </c>
      <c r="H91" s="87" t="s">
        <v>226</v>
      </c>
      <c r="I91" s="90">
        <f t="shared" si="1"/>
        <v>1.166666667</v>
      </c>
      <c r="J91" s="81">
        <f t="shared" si="2"/>
        <v>0.4615384615</v>
      </c>
    </row>
    <row r="92">
      <c r="A92" s="88">
        <v>44650.0</v>
      </c>
      <c r="B92" s="89">
        <v>2371.0</v>
      </c>
      <c r="C92" s="89">
        <v>3.0</v>
      </c>
      <c r="D92" s="87" t="s">
        <v>204</v>
      </c>
      <c r="E92" s="89">
        <v>1.0</v>
      </c>
      <c r="F92" s="89">
        <v>0.6085</v>
      </c>
      <c r="G92" s="89">
        <v>0.28</v>
      </c>
      <c r="H92" s="87" t="s">
        <v>226</v>
      </c>
      <c r="I92" s="90">
        <f t="shared" si="1"/>
        <v>1.173214286</v>
      </c>
      <c r="J92" s="81">
        <f t="shared" si="2"/>
        <v>0.4601479047</v>
      </c>
    </row>
    <row r="93">
      <c r="A93" s="88">
        <v>44650.0</v>
      </c>
      <c r="B93" s="89">
        <v>2369.0</v>
      </c>
      <c r="C93" s="89">
        <v>1.0</v>
      </c>
      <c r="D93" s="87" t="s">
        <v>204</v>
      </c>
      <c r="E93" s="89">
        <v>1.0</v>
      </c>
      <c r="F93" s="89">
        <v>0.1645</v>
      </c>
      <c r="G93" s="89">
        <v>0.075</v>
      </c>
      <c r="H93" s="87" t="s">
        <v>226</v>
      </c>
      <c r="I93" s="90">
        <f t="shared" si="1"/>
        <v>1.193333333</v>
      </c>
      <c r="J93" s="81">
        <f t="shared" si="2"/>
        <v>0.4559270517</v>
      </c>
    </row>
    <row r="94">
      <c r="A94" s="88">
        <v>44650.0</v>
      </c>
      <c r="B94" s="89">
        <v>2378.0</v>
      </c>
      <c r="C94" s="89">
        <v>1.0</v>
      </c>
      <c r="D94" s="87" t="s">
        <v>205</v>
      </c>
      <c r="E94" s="87" t="s">
        <v>58</v>
      </c>
      <c r="F94" s="89">
        <v>0.9152</v>
      </c>
      <c r="G94" s="89">
        <v>0.417</v>
      </c>
      <c r="H94" s="87" t="s">
        <v>226</v>
      </c>
      <c r="I94" s="90">
        <f t="shared" si="1"/>
        <v>1.194724221</v>
      </c>
      <c r="J94" s="81">
        <f t="shared" si="2"/>
        <v>0.4556381119</v>
      </c>
    </row>
    <row r="95">
      <c r="A95" s="88">
        <v>44650.0</v>
      </c>
      <c r="B95" s="89">
        <v>2343.0</v>
      </c>
      <c r="C95" s="89">
        <v>1.0</v>
      </c>
      <c r="D95" s="87" t="s">
        <v>204</v>
      </c>
      <c r="E95" s="89">
        <v>1.0</v>
      </c>
      <c r="F95" s="89">
        <v>0.0834</v>
      </c>
      <c r="G95" s="89">
        <v>0.038</v>
      </c>
      <c r="H95" s="87" t="s">
        <v>226</v>
      </c>
      <c r="I95" s="90">
        <f t="shared" si="1"/>
        <v>1.194736842</v>
      </c>
      <c r="J95" s="81">
        <f t="shared" si="2"/>
        <v>0.4556354916</v>
      </c>
    </row>
    <row r="96">
      <c r="A96" s="88">
        <v>44650.0</v>
      </c>
      <c r="B96" s="89">
        <v>2360.0</v>
      </c>
      <c r="C96" s="89">
        <v>1.0</v>
      </c>
      <c r="D96" s="87" t="s">
        <v>204</v>
      </c>
      <c r="E96" s="89">
        <v>1.0</v>
      </c>
      <c r="F96" s="89">
        <v>0.2376</v>
      </c>
      <c r="G96" s="89">
        <v>0.108</v>
      </c>
      <c r="H96" s="87" t="s">
        <v>226</v>
      </c>
      <c r="I96" s="90">
        <f t="shared" si="1"/>
        <v>1.2</v>
      </c>
      <c r="J96" s="81">
        <f t="shared" si="2"/>
        <v>0.4545454545</v>
      </c>
    </row>
    <row r="97">
      <c r="A97" s="88">
        <v>44650.0</v>
      </c>
      <c r="B97" s="89">
        <v>2379.0</v>
      </c>
      <c r="C97" s="89">
        <v>3.0</v>
      </c>
      <c r="D97" s="87" t="s">
        <v>205</v>
      </c>
      <c r="E97" s="87" t="s">
        <v>58</v>
      </c>
      <c r="F97" s="89">
        <v>0.5076</v>
      </c>
      <c r="G97" s="89">
        <v>0.23</v>
      </c>
      <c r="H97" s="87" t="s">
        <v>226</v>
      </c>
      <c r="I97" s="90">
        <f t="shared" si="1"/>
        <v>1.206956522</v>
      </c>
      <c r="J97" s="81">
        <f t="shared" si="2"/>
        <v>0.4531126872</v>
      </c>
    </row>
    <row r="98">
      <c r="A98" s="88">
        <v>44650.0</v>
      </c>
      <c r="B98" s="89">
        <v>2379.0</v>
      </c>
      <c r="C98" s="89">
        <v>2.0</v>
      </c>
      <c r="D98" s="87" t="s">
        <v>205</v>
      </c>
      <c r="E98" s="87" t="s">
        <v>58</v>
      </c>
      <c r="F98" s="89">
        <v>0.4687</v>
      </c>
      <c r="G98" s="89">
        <v>0.212</v>
      </c>
      <c r="H98" s="87" t="s">
        <v>226</v>
      </c>
      <c r="I98" s="90">
        <f t="shared" si="1"/>
        <v>1.210849057</v>
      </c>
      <c r="J98" s="81">
        <f t="shared" si="2"/>
        <v>0.4523149136</v>
      </c>
    </row>
    <row r="99">
      <c r="A99" s="88">
        <v>44650.0</v>
      </c>
      <c r="B99" s="89">
        <v>2372.0</v>
      </c>
      <c r="C99" s="89">
        <v>1.0</v>
      </c>
      <c r="D99" s="87" t="s">
        <v>204</v>
      </c>
      <c r="E99" s="89">
        <v>1.0</v>
      </c>
      <c r="F99" s="89">
        <v>0.1216</v>
      </c>
      <c r="G99" s="89">
        <v>0.055</v>
      </c>
      <c r="H99" s="87" t="s">
        <v>226</v>
      </c>
      <c r="I99" s="90">
        <f t="shared" si="1"/>
        <v>1.210909091</v>
      </c>
      <c r="J99" s="81">
        <f t="shared" si="2"/>
        <v>0.4523026316</v>
      </c>
    </row>
    <row r="100">
      <c r="A100" s="88">
        <v>44650.0</v>
      </c>
      <c r="B100" s="89">
        <v>2378.0</v>
      </c>
      <c r="C100" s="89">
        <v>3.0</v>
      </c>
      <c r="D100" s="87" t="s">
        <v>204</v>
      </c>
      <c r="E100" s="89">
        <v>1.0</v>
      </c>
      <c r="F100" s="89">
        <v>0.3135</v>
      </c>
      <c r="G100" s="89">
        <v>0.141</v>
      </c>
      <c r="H100" s="87" t="s">
        <v>226</v>
      </c>
      <c r="I100" s="90">
        <f t="shared" si="1"/>
        <v>1.223404255</v>
      </c>
      <c r="J100" s="81">
        <f t="shared" si="2"/>
        <v>0.4497607656</v>
      </c>
    </row>
    <row r="101">
      <c r="A101" s="88">
        <v>44650.0</v>
      </c>
      <c r="B101" s="89">
        <v>2343.0</v>
      </c>
      <c r="C101" s="89">
        <v>3.0</v>
      </c>
      <c r="D101" s="87" t="s">
        <v>204</v>
      </c>
      <c r="E101" s="89">
        <v>1.0</v>
      </c>
      <c r="F101" s="89">
        <v>0.1293</v>
      </c>
      <c r="G101" s="89">
        <v>0.058</v>
      </c>
      <c r="H101" s="87" t="s">
        <v>226</v>
      </c>
      <c r="I101" s="90">
        <f t="shared" si="1"/>
        <v>1.229310345</v>
      </c>
      <c r="J101" s="81">
        <f t="shared" si="2"/>
        <v>0.4485692189</v>
      </c>
    </row>
    <row r="102">
      <c r="A102" s="88">
        <v>44650.0</v>
      </c>
      <c r="B102" s="89">
        <v>2377.0</v>
      </c>
      <c r="C102" s="89">
        <v>1.0</v>
      </c>
      <c r="D102" s="87" t="s">
        <v>204</v>
      </c>
      <c r="E102" s="87" t="s">
        <v>58</v>
      </c>
      <c r="F102" s="89">
        <v>0.4339</v>
      </c>
      <c r="G102" s="89">
        <v>0.193</v>
      </c>
      <c r="H102" s="87" t="s">
        <v>226</v>
      </c>
      <c r="I102" s="90">
        <f t="shared" si="1"/>
        <v>1.248186528</v>
      </c>
      <c r="J102" s="81">
        <f t="shared" si="2"/>
        <v>0.44480295</v>
      </c>
    </row>
    <row r="103">
      <c r="A103" s="88">
        <v>44650.0</v>
      </c>
      <c r="B103" s="89">
        <v>2367.0</v>
      </c>
      <c r="C103" s="89">
        <v>1.0</v>
      </c>
      <c r="D103" s="87" t="s">
        <v>204</v>
      </c>
      <c r="E103" s="89">
        <v>1.0</v>
      </c>
      <c r="F103" s="89">
        <v>0.0903</v>
      </c>
      <c r="G103" s="89">
        <v>0.04</v>
      </c>
      <c r="H103" s="87" t="s">
        <v>226</v>
      </c>
      <c r="I103" s="90">
        <f t="shared" si="1"/>
        <v>1.2575</v>
      </c>
      <c r="J103" s="81">
        <f t="shared" si="2"/>
        <v>0.4429678848</v>
      </c>
    </row>
    <row r="104">
      <c r="A104" s="88">
        <v>44650.0</v>
      </c>
      <c r="B104" s="89">
        <v>2360.0</v>
      </c>
      <c r="C104" s="89">
        <v>3.0</v>
      </c>
      <c r="D104" s="87" t="s">
        <v>205</v>
      </c>
      <c r="E104" s="87" t="s">
        <v>58</v>
      </c>
      <c r="F104" s="89">
        <v>1.2668</v>
      </c>
      <c r="G104" s="89">
        <v>0.557</v>
      </c>
      <c r="H104" s="87" t="s">
        <v>226</v>
      </c>
      <c r="I104" s="90">
        <f t="shared" si="1"/>
        <v>1.27432675</v>
      </c>
      <c r="J104" s="81">
        <f t="shared" si="2"/>
        <v>0.4396905589</v>
      </c>
    </row>
    <row r="105">
      <c r="A105" s="88">
        <v>44650.0</v>
      </c>
      <c r="B105" s="89">
        <v>2364.0</v>
      </c>
      <c r="C105" s="89">
        <v>2.0</v>
      </c>
      <c r="D105" s="87" t="s">
        <v>205</v>
      </c>
      <c r="E105" s="87" t="s">
        <v>58</v>
      </c>
      <c r="F105" s="89">
        <v>1.1874</v>
      </c>
      <c r="G105" s="89">
        <v>0.522</v>
      </c>
      <c r="H105" s="87" t="s">
        <v>226</v>
      </c>
      <c r="I105" s="90">
        <f t="shared" si="1"/>
        <v>1.274712644</v>
      </c>
      <c r="J105" s="81">
        <f t="shared" si="2"/>
        <v>0.4396159677</v>
      </c>
    </row>
    <row r="106">
      <c r="A106" s="88">
        <v>44650.0</v>
      </c>
      <c r="B106" s="89">
        <v>2343.0</v>
      </c>
      <c r="C106" s="89">
        <v>2.0</v>
      </c>
      <c r="D106" s="87" t="s">
        <v>204</v>
      </c>
      <c r="E106" s="89">
        <v>1.0</v>
      </c>
      <c r="F106" s="89">
        <v>0.2028</v>
      </c>
      <c r="G106" s="89">
        <v>0.089</v>
      </c>
      <c r="H106" s="87" t="s">
        <v>226</v>
      </c>
      <c r="I106" s="90">
        <f t="shared" si="1"/>
        <v>1.278651685</v>
      </c>
      <c r="J106" s="81">
        <f t="shared" si="2"/>
        <v>0.4388560158</v>
      </c>
    </row>
    <row r="107">
      <c r="A107" s="88">
        <v>44650.0</v>
      </c>
      <c r="B107" s="89">
        <v>2369.0</v>
      </c>
      <c r="C107" s="89">
        <v>3.0</v>
      </c>
      <c r="D107" s="87" t="s">
        <v>204</v>
      </c>
      <c r="E107" s="89">
        <v>1.0</v>
      </c>
      <c r="F107" s="89">
        <v>0.1551</v>
      </c>
      <c r="G107" s="89">
        <v>0.068</v>
      </c>
      <c r="H107" s="87" t="s">
        <v>226</v>
      </c>
      <c r="I107" s="90">
        <f t="shared" si="1"/>
        <v>1.280882353</v>
      </c>
      <c r="J107" s="81">
        <f t="shared" si="2"/>
        <v>0.4384268214</v>
      </c>
    </row>
    <row r="108">
      <c r="A108" s="88">
        <v>44650.0</v>
      </c>
      <c r="B108" s="89">
        <v>2367.0</v>
      </c>
      <c r="C108" s="89">
        <v>1.0</v>
      </c>
      <c r="D108" s="87" t="s">
        <v>204</v>
      </c>
      <c r="E108" s="89">
        <v>1.0</v>
      </c>
      <c r="F108" s="89">
        <v>0.2168</v>
      </c>
      <c r="G108" s="89">
        <v>0.095</v>
      </c>
      <c r="H108" s="87" t="s">
        <v>226</v>
      </c>
      <c r="I108" s="90">
        <f t="shared" si="1"/>
        <v>1.282105263</v>
      </c>
      <c r="J108" s="81">
        <f t="shared" si="2"/>
        <v>0.4381918819</v>
      </c>
    </row>
    <row r="109">
      <c r="A109" s="88">
        <v>44650.0</v>
      </c>
      <c r="B109" s="89">
        <v>2375.0</v>
      </c>
      <c r="C109" s="89">
        <v>2.0</v>
      </c>
      <c r="D109" s="87" t="s">
        <v>204</v>
      </c>
      <c r="E109" s="89">
        <v>1.0</v>
      </c>
      <c r="F109" s="89">
        <v>0.1027</v>
      </c>
      <c r="G109" s="89">
        <v>0.045</v>
      </c>
      <c r="H109" s="87" t="s">
        <v>226</v>
      </c>
      <c r="I109" s="90">
        <f t="shared" si="1"/>
        <v>1.282222222</v>
      </c>
      <c r="J109" s="81">
        <f t="shared" si="2"/>
        <v>0.4381694255</v>
      </c>
    </row>
    <row r="110">
      <c r="A110" s="88">
        <v>44650.0</v>
      </c>
      <c r="B110" s="89">
        <v>2375.0</v>
      </c>
      <c r="C110" s="89">
        <v>1.0</v>
      </c>
      <c r="D110" s="87" t="s">
        <v>204</v>
      </c>
      <c r="E110" s="89">
        <v>1.0</v>
      </c>
      <c r="F110" s="89">
        <v>0.0662</v>
      </c>
      <c r="G110" s="89">
        <v>0.029</v>
      </c>
      <c r="H110" s="87" t="s">
        <v>226</v>
      </c>
      <c r="I110" s="90">
        <f t="shared" si="1"/>
        <v>1.282758621</v>
      </c>
      <c r="J110" s="81">
        <f t="shared" si="2"/>
        <v>0.4380664653</v>
      </c>
    </row>
    <row r="111">
      <c r="A111" s="88">
        <v>44650.0</v>
      </c>
      <c r="B111" s="89">
        <v>2364.0</v>
      </c>
      <c r="C111" s="89">
        <v>2.0</v>
      </c>
      <c r="D111" s="87" t="s">
        <v>204</v>
      </c>
      <c r="E111" s="89">
        <v>1.0</v>
      </c>
      <c r="F111" s="89">
        <v>0.2924</v>
      </c>
      <c r="G111" s="89">
        <v>0.128</v>
      </c>
      <c r="H111" s="87" t="s">
        <v>226</v>
      </c>
      <c r="I111" s="90">
        <f t="shared" si="1"/>
        <v>1.284375</v>
      </c>
      <c r="J111" s="81">
        <f t="shared" si="2"/>
        <v>0.4377564979</v>
      </c>
    </row>
    <row r="112">
      <c r="A112" s="88">
        <v>44650.0</v>
      </c>
      <c r="B112" s="89">
        <v>2372.0</v>
      </c>
      <c r="C112" s="89">
        <v>2.0</v>
      </c>
      <c r="D112" s="87" t="s">
        <v>204</v>
      </c>
      <c r="E112" s="89">
        <v>1.0</v>
      </c>
      <c r="F112" s="89">
        <v>0.1145</v>
      </c>
      <c r="G112" s="89">
        <v>0.05</v>
      </c>
      <c r="H112" s="87" t="s">
        <v>226</v>
      </c>
      <c r="I112" s="90">
        <f t="shared" si="1"/>
        <v>1.29</v>
      </c>
      <c r="J112" s="81">
        <f t="shared" si="2"/>
        <v>0.4366812227</v>
      </c>
    </row>
    <row r="113">
      <c r="A113" s="88">
        <v>44650.0</v>
      </c>
      <c r="B113" s="89">
        <v>2378.0</v>
      </c>
      <c r="C113" s="89">
        <v>2.0</v>
      </c>
      <c r="D113" s="87" t="s">
        <v>204</v>
      </c>
      <c r="E113" s="89">
        <v>1.0</v>
      </c>
      <c r="F113" s="89">
        <v>0.1451</v>
      </c>
      <c r="G113" s="89">
        <v>0.063</v>
      </c>
      <c r="H113" s="87" t="s">
        <v>226</v>
      </c>
      <c r="I113" s="90">
        <f t="shared" si="1"/>
        <v>1.303174603</v>
      </c>
      <c r="J113" s="81">
        <f t="shared" si="2"/>
        <v>0.4341833218</v>
      </c>
    </row>
    <row r="114">
      <c r="A114" s="88">
        <v>44650.0</v>
      </c>
      <c r="B114" s="89">
        <v>2371.0</v>
      </c>
      <c r="C114" s="89">
        <v>1.0</v>
      </c>
      <c r="D114" s="87" t="s">
        <v>204</v>
      </c>
      <c r="E114" s="89">
        <v>1.0</v>
      </c>
      <c r="F114" s="89">
        <v>0.1912</v>
      </c>
      <c r="G114" s="89">
        <v>0.083</v>
      </c>
      <c r="H114" s="87" t="s">
        <v>226</v>
      </c>
      <c r="I114" s="90">
        <f t="shared" si="1"/>
        <v>1.303614458</v>
      </c>
      <c r="J114" s="81">
        <f t="shared" si="2"/>
        <v>0.4341004184</v>
      </c>
    </row>
    <row r="115">
      <c r="A115" s="88">
        <v>44650.0</v>
      </c>
      <c r="B115" s="89">
        <v>2360.0</v>
      </c>
      <c r="C115" s="89">
        <v>2.0</v>
      </c>
      <c r="D115" s="87" t="s">
        <v>204</v>
      </c>
      <c r="E115" s="89">
        <v>1.0</v>
      </c>
      <c r="F115" s="89">
        <v>0.3279</v>
      </c>
      <c r="G115" s="89">
        <v>0.141</v>
      </c>
      <c r="H115" s="87" t="s">
        <v>226</v>
      </c>
      <c r="I115" s="90">
        <f t="shared" si="1"/>
        <v>1.325531915</v>
      </c>
      <c r="J115" s="81">
        <f t="shared" si="2"/>
        <v>0.4300091491</v>
      </c>
    </row>
    <row r="116">
      <c r="A116" s="88">
        <v>44650.0</v>
      </c>
      <c r="B116" s="89">
        <v>2360.0</v>
      </c>
      <c r="C116" s="89">
        <v>3.0</v>
      </c>
      <c r="D116" s="87" t="s">
        <v>204</v>
      </c>
      <c r="E116" s="89">
        <v>1.0</v>
      </c>
      <c r="F116" s="89">
        <v>0.217</v>
      </c>
      <c r="G116" s="89">
        <v>0.093</v>
      </c>
      <c r="H116" s="87" t="s">
        <v>226</v>
      </c>
      <c r="I116" s="90">
        <f t="shared" si="1"/>
        <v>1.333333333</v>
      </c>
      <c r="J116" s="81">
        <f t="shared" si="2"/>
        <v>0.4285714286</v>
      </c>
    </row>
    <row r="117">
      <c r="A117" s="88">
        <v>44650.0</v>
      </c>
      <c r="B117" s="89">
        <v>2364.0</v>
      </c>
      <c r="C117" s="89">
        <v>1.0</v>
      </c>
      <c r="D117" s="87" t="s">
        <v>205</v>
      </c>
      <c r="E117" s="87" t="s">
        <v>58</v>
      </c>
      <c r="F117" s="89">
        <v>0.4231</v>
      </c>
      <c r="G117" s="89">
        <v>0.181</v>
      </c>
      <c r="H117" s="87" t="s">
        <v>226</v>
      </c>
      <c r="I117" s="90">
        <f t="shared" si="1"/>
        <v>1.337569061</v>
      </c>
      <c r="J117" s="81">
        <f t="shared" si="2"/>
        <v>0.4277948476</v>
      </c>
    </row>
    <row r="118">
      <c r="A118" s="88">
        <v>44650.0</v>
      </c>
      <c r="B118" s="89">
        <v>2360.0</v>
      </c>
      <c r="C118" s="89">
        <v>2.0</v>
      </c>
      <c r="D118" s="87" t="s">
        <v>205</v>
      </c>
      <c r="E118" s="87" t="s">
        <v>58</v>
      </c>
      <c r="F118" s="89">
        <v>0.9288</v>
      </c>
      <c r="G118" s="89">
        <v>0.393</v>
      </c>
      <c r="H118" s="87" t="s">
        <v>226</v>
      </c>
      <c r="I118" s="90">
        <f t="shared" si="1"/>
        <v>1.363358779</v>
      </c>
      <c r="J118" s="81">
        <f t="shared" si="2"/>
        <v>0.423126615</v>
      </c>
    </row>
    <row r="119">
      <c r="A119" s="88">
        <v>44650.0</v>
      </c>
      <c r="B119" s="89">
        <v>2360.0</v>
      </c>
      <c r="C119" s="89">
        <v>1.0</v>
      </c>
      <c r="D119" s="87" t="s">
        <v>205</v>
      </c>
      <c r="E119" s="87" t="s">
        <v>58</v>
      </c>
      <c r="F119" s="89">
        <v>1.0328</v>
      </c>
      <c r="G119" s="89">
        <v>0.437</v>
      </c>
      <c r="H119" s="87" t="s">
        <v>226</v>
      </c>
      <c r="I119" s="90">
        <f t="shared" si="1"/>
        <v>1.363386728</v>
      </c>
      <c r="J119" s="81">
        <f t="shared" si="2"/>
        <v>0.4231216112</v>
      </c>
    </row>
    <row r="120">
      <c r="A120" s="88">
        <v>44650.0</v>
      </c>
      <c r="B120" s="89">
        <v>2347.0</v>
      </c>
      <c r="C120" s="89">
        <v>2.0</v>
      </c>
      <c r="D120" s="87" t="s">
        <v>204</v>
      </c>
      <c r="E120" s="89">
        <v>1.0</v>
      </c>
      <c r="F120" s="89">
        <v>0.0663</v>
      </c>
      <c r="G120" s="89">
        <v>0.028</v>
      </c>
      <c r="H120" s="87" t="s">
        <v>226</v>
      </c>
      <c r="I120" s="90">
        <f t="shared" si="1"/>
        <v>1.367857143</v>
      </c>
      <c r="J120" s="81">
        <f t="shared" si="2"/>
        <v>0.4223227753</v>
      </c>
    </row>
    <row r="121">
      <c r="A121" s="88">
        <v>44650.0</v>
      </c>
      <c r="B121" s="89">
        <v>2372.0</v>
      </c>
      <c r="C121" s="89">
        <v>3.0</v>
      </c>
      <c r="D121" s="87" t="s">
        <v>204</v>
      </c>
      <c r="E121" s="89">
        <v>1.0</v>
      </c>
      <c r="F121" s="89">
        <v>0.2386</v>
      </c>
      <c r="G121" s="89">
        <v>0.1</v>
      </c>
      <c r="H121" s="87" t="s">
        <v>226</v>
      </c>
      <c r="I121" s="90">
        <f t="shared" si="1"/>
        <v>1.386</v>
      </c>
      <c r="J121" s="81">
        <f t="shared" si="2"/>
        <v>0.4191114837</v>
      </c>
    </row>
    <row r="122">
      <c r="A122" s="88">
        <v>44650.0</v>
      </c>
      <c r="B122" s="89">
        <v>2369.0</v>
      </c>
      <c r="C122" s="89">
        <v>2.0</v>
      </c>
      <c r="D122" s="87" t="s">
        <v>205</v>
      </c>
      <c r="E122" s="87" t="s">
        <v>58</v>
      </c>
      <c r="F122" s="89">
        <v>0.482</v>
      </c>
      <c r="G122" s="89">
        <v>0.202</v>
      </c>
      <c r="H122" s="87" t="s">
        <v>226</v>
      </c>
      <c r="I122" s="90">
        <f t="shared" si="1"/>
        <v>1.386138614</v>
      </c>
      <c r="J122" s="81">
        <f t="shared" si="2"/>
        <v>0.4190871369</v>
      </c>
    </row>
    <row r="123">
      <c r="A123" s="88">
        <v>44650.0</v>
      </c>
      <c r="B123" s="89">
        <v>2364.0</v>
      </c>
      <c r="C123" s="89">
        <v>1.0</v>
      </c>
      <c r="D123" s="87" t="s">
        <v>204</v>
      </c>
      <c r="E123" s="89">
        <v>0.0</v>
      </c>
      <c r="F123" s="89">
        <v>0.0311</v>
      </c>
      <c r="G123" s="89">
        <v>0.013</v>
      </c>
      <c r="H123" s="87" t="s">
        <v>226</v>
      </c>
      <c r="I123" s="90">
        <f t="shared" si="1"/>
        <v>1.392307692</v>
      </c>
      <c r="J123" s="81">
        <f t="shared" si="2"/>
        <v>0.4180064309</v>
      </c>
    </row>
    <row r="124">
      <c r="A124" s="88">
        <v>44650.0</v>
      </c>
      <c r="B124" s="89">
        <v>2364.0</v>
      </c>
      <c r="C124" s="89">
        <v>3.0</v>
      </c>
      <c r="D124" s="87" t="s">
        <v>204</v>
      </c>
      <c r="E124" s="89">
        <v>1.0</v>
      </c>
      <c r="F124" s="89">
        <v>0.1532</v>
      </c>
      <c r="G124" s="89">
        <v>0.064</v>
      </c>
      <c r="H124" s="87" t="s">
        <v>226</v>
      </c>
      <c r="I124" s="90">
        <f t="shared" si="1"/>
        <v>1.39375</v>
      </c>
      <c r="J124" s="81">
        <f t="shared" si="2"/>
        <v>0.4177545692</v>
      </c>
    </row>
    <row r="125">
      <c r="A125" s="88">
        <v>44650.0</v>
      </c>
      <c r="B125" s="89">
        <v>2370.0</v>
      </c>
      <c r="C125" s="89">
        <v>2.0</v>
      </c>
      <c r="D125" s="87" t="s">
        <v>204</v>
      </c>
      <c r="E125" s="89">
        <v>1.0</v>
      </c>
      <c r="F125" s="89">
        <v>0.0766</v>
      </c>
      <c r="G125" s="89">
        <v>0.032</v>
      </c>
      <c r="H125" s="87" t="s">
        <v>226</v>
      </c>
      <c r="I125" s="90">
        <f t="shared" si="1"/>
        <v>1.39375</v>
      </c>
      <c r="J125" s="81">
        <f t="shared" si="2"/>
        <v>0.4177545692</v>
      </c>
    </row>
    <row r="126">
      <c r="A126" s="88">
        <v>44650.0</v>
      </c>
      <c r="B126" s="89">
        <v>2370.0</v>
      </c>
      <c r="C126" s="89">
        <v>3.0</v>
      </c>
      <c r="D126" s="87" t="s">
        <v>204</v>
      </c>
      <c r="E126" s="89">
        <v>1.0</v>
      </c>
      <c r="F126" s="89">
        <v>0.1739</v>
      </c>
      <c r="G126" s="89">
        <v>0.072</v>
      </c>
      <c r="H126" s="87" t="s">
        <v>226</v>
      </c>
      <c r="I126" s="90">
        <f t="shared" si="1"/>
        <v>1.415277778</v>
      </c>
      <c r="J126" s="81">
        <f t="shared" si="2"/>
        <v>0.4140310523</v>
      </c>
    </row>
    <row r="127">
      <c r="A127" s="88">
        <v>44650.0</v>
      </c>
      <c r="B127" s="89">
        <v>2347.0</v>
      </c>
      <c r="C127" s="89">
        <v>1.0</v>
      </c>
      <c r="D127" s="87" t="s">
        <v>204</v>
      </c>
      <c r="E127" s="89">
        <v>1.0</v>
      </c>
      <c r="F127" s="89">
        <v>0.1628</v>
      </c>
      <c r="G127" s="89">
        <v>0.067</v>
      </c>
      <c r="H127" s="87" t="s">
        <v>226</v>
      </c>
      <c r="I127" s="90">
        <f t="shared" si="1"/>
        <v>1.429850746</v>
      </c>
      <c r="J127" s="81">
        <f t="shared" si="2"/>
        <v>0.4115479115</v>
      </c>
    </row>
    <row r="128">
      <c r="A128" s="88">
        <v>44650.0</v>
      </c>
      <c r="B128" s="89">
        <v>2347.0</v>
      </c>
      <c r="C128" s="89">
        <v>3.0</v>
      </c>
      <c r="D128" s="87" t="s">
        <v>204</v>
      </c>
      <c r="E128" s="89">
        <v>1.0</v>
      </c>
      <c r="F128" s="89">
        <v>0.232</v>
      </c>
      <c r="G128" s="89">
        <v>0.095</v>
      </c>
      <c r="H128" s="87" t="s">
        <v>226</v>
      </c>
      <c r="I128" s="90">
        <f t="shared" si="1"/>
        <v>1.442105263</v>
      </c>
      <c r="J128" s="81">
        <f t="shared" si="2"/>
        <v>0.4094827586</v>
      </c>
    </row>
    <row r="129">
      <c r="A129" s="88">
        <v>44650.0</v>
      </c>
      <c r="B129" s="89">
        <v>2360.0</v>
      </c>
      <c r="C129" s="89">
        <v>3.0</v>
      </c>
      <c r="D129" s="87" t="s">
        <v>204</v>
      </c>
      <c r="E129" s="89">
        <v>0.0</v>
      </c>
      <c r="F129" s="89">
        <v>0.1854</v>
      </c>
      <c r="G129" s="89">
        <v>0.075</v>
      </c>
      <c r="H129" s="87" t="s">
        <v>226</v>
      </c>
      <c r="I129" s="90">
        <f t="shared" si="1"/>
        <v>1.472</v>
      </c>
      <c r="J129" s="81">
        <f t="shared" si="2"/>
        <v>0.4045307443</v>
      </c>
    </row>
    <row r="130">
      <c r="A130" s="88">
        <v>44650.0</v>
      </c>
      <c r="B130" s="89">
        <v>2370.0</v>
      </c>
      <c r="C130" s="89">
        <v>1.0</v>
      </c>
      <c r="D130" s="87" t="s">
        <v>204</v>
      </c>
      <c r="E130" s="89">
        <v>1.0</v>
      </c>
      <c r="F130" s="89">
        <v>0.1045</v>
      </c>
      <c r="G130" s="89">
        <v>0.042</v>
      </c>
      <c r="H130" s="87" t="s">
        <v>226</v>
      </c>
      <c r="I130" s="90">
        <f t="shared" si="1"/>
        <v>1.488095238</v>
      </c>
      <c r="J130" s="81">
        <f t="shared" si="2"/>
        <v>0.4019138756</v>
      </c>
    </row>
    <row r="131">
      <c r="A131" s="88">
        <v>44650.0</v>
      </c>
      <c r="B131" s="89">
        <v>2378.0</v>
      </c>
      <c r="C131" s="89">
        <v>1.0</v>
      </c>
      <c r="D131" s="87" t="s">
        <v>204</v>
      </c>
      <c r="E131" s="89">
        <v>0.0</v>
      </c>
      <c r="F131" s="89">
        <v>0.157</v>
      </c>
      <c r="G131" s="89">
        <v>0.063</v>
      </c>
      <c r="H131" s="87" t="s">
        <v>226</v>
      </c>
      <c r="I131" s="90">
        <f t="shared" si="1"/>
        <v>1.492063492</v>
      </c>
      <c r="J131" s="81">
        <f t="shared" si="2"/>
        <v>0.4012738854</v>
      </c>
    </row>
    <row r="132">
      <c r="A132" s="88">
        <v>44650.0</v>
      </c>
      <c r="B132" s="89">
        <v>2343.0</v>
      </c>
      <c r="C132" s="89">
        <v>1.0</v>
      </c>
      <c r="D132" s="87" t="s">
        <v>205</v>
      </c>
      <c r="E132" s="87" t="s">
        <v>58</v>
      </c>
      <c r="F132" s="89">
        <v>0.7177</v>
      </c>
      <c r="G132" s="89">
        <v>0.287</v>
      </c>
      <c r="H132" s="87" t="s">
        <v>226</v>
      </c>
      <c r="I132" s="90">
        <f t="shared" si="1"/>
        <v>1.500696864</v>
      </c>
      <c r="J132" s="81">
        <f t="shared" si="2"/>
        <v>0.3998885328</v>
      </c>
    </row>
    <row r="133">
      <c r="A133" s="88">
        <v>44650.0</v>
      </c>
      <c r="B133" s="89">
        <v>2369.0</v>
      </c>
      <c r="C133" s="89">
        <v>1.0</v>
      </c>
      <c r="D133" s="87" t="s">
        <v>205</v>
      </c>
      <c r="E133" s="87" t="s">
        <v>58</v>
      </c>
      <c r="F133" s="89">
        <v>0.97</v>
      </c>
      <c r="G133" s="89">
        <v>0.386</v>
      </c>
      <c r="H133" s="87" t="s">
        <v>226</v>
      </c>
      <c r="I133" s="90">
        <f t="shared" si="1"/>
        <v>1.512953368</v>
      </c>
      <c r="J133" s="81">
        <f t="shared" si="2"/>
        <v>0.3979381443</v>
      </c>
    </row>
    <row r="134">
      <c r="A134" s="88">
        <v>44650.0</v>
      </c>
      <c r="B134" s="89">
        <v>2379.0</v>
      </c>
      <c r="C134" s="89">
        <v>3.0</v>
      </c>
      <c r="D134" s="87" t="s">
        <v>204</v>
      </c>
      <c r="E134" s="89">
        <v>0.0</v>
      </c>
      <c r="F134" s="89">
        <v>0.0279</v>
      </c>
      <c r="G134" s="89">
        <v>0.011</v>
      </c>
      <c r="H134" s="87" t="s">
        <v>226</v>
      </c>
      <c r="I134" s="90">
        <f t="shared" si="1"/>
        <v>1.536363636</v>
      </c>
      <c r="J134" s="81">
        <f t="shared" si="2"/>
        <v>0.394265233</v>
      </c>
    </row>
    <row r="135">
      <c r="A135" s="88">
        <v>44650.0</v>
      </c>
      <c r="B135" s="89">
        <v>2367.0</v>
      </c>
      <c r="C135" s="89">
        <v>1.0</v>
      </c>
      <c r="D135" s="87" t="s">
        <v>205</v>
      </c>
      <c r="E135" s="87" t="s">
        <v>58</v>
      </c>
      <c r="F135" s="90">
        <f>0.161+1.5393</f>
        <v>1.7003</v>
      </c>
      <c r="G135" s="89">
        <v>0.666</v>
      </c>
      <c r="H135" s="87" t="s">
        <v>226</v>
      </c>
      <c r="I135" s="90">
        <f t="shared" si="1"/>
        <v>1.553003003</v>
      </c>
      <c r="J135" s="81">
        <f t="shared" si="2"/>
        <v>0.3916955831</v>
      </c>
    </row>
    <row r="136">
      <c r="A136" s="88">
        <v>44650.0</v>
      </c>
      <c r="B136" s="89">
        <v>2378.0</v>
      </c>
      <c r="C136" s="89">
        <v>2.0</v>
      </c>
      <c r="D136" s="87" t="s">
        <v>204</v>
      </c>
      <c r="E136" s="89">
        <v>0.0</v>
      </c>
      <c r="F136" s="89">
        <v>0.3245</v>
      </c>
      <c r="G136" s="89">
        <v>0.127</v>
      </c>
      <c r="H136" s="87" t="s">
        <v>226</v>
      </c>
      <c r="I136" s="90">
        <f t="shared" si="1"/>
        <v>1.55511811</v>
      </c>
      <c r="J136" s="81">
        <f t="shared" si="2"/>
        <v>0.3913713405</v>
      </c>
    </row>
    <row r="137">
      <c r="A137" s="88">
        <v>44650.0</v>
      </c>
      <c r="B137" s="89">
        <v>2379.0</v>
      </c>
      <c r="C137" s="89">
        <v>2.0</v>
      </c>
      <c r="D137" s="87" t="s">
        <v>204</v>
      </c>
      <c r="E137" s="89">
        <v>0.0</v>
      </c>
      <c r="F137" s="89">
        <v>0.0257</v>
      </c>
      <c r="G137" s="89">
        <v>0.01</v>
      </c>
      <c r="H137" s="87" t="s">
        <v>226</v>
      </c>
      <c r="I137" s="90">
        <f t="shared" si="1"/>
        <v>1.57</v>
      </c>
      <c r="J137" s="81">
        <f t="shared" si="2"/>
        <v>0.3891050584</v>
      </c>
    </row>
    <row r="138">
      <c r="A138" s="88">
        <v>44650.0</v>
      </c>
      <c r="B138" s="89">
        <v>2364.0</v>
      </c>
      <c r="C138" s="89">
        <v>2.0</v>
      </c>
      <c r="D138" s="87" t="s">
        <v>204</v>
      </c>
      <c r="E138" s="89">
        <v>0.0</v>
      </c>
      <c r="F138" s="89">
        <v>0.0592</v>
      </c>
      <c r="G138" s="89">
        <v>0.023</v>
      </c>
      <c r="H138" s="87" t="s">
        <v>226</v>
      </c>
      <c r="I138" s="90">
        <f t="shared" si="1"/>
        <v>1.573913043</v>
      </c>
      <c r="J138" s="81">
        <f t="shared" si="2"/>
        <v>0.3885135135</v>
      </c>
    </row>
    <row r="139">
      <c r="A139" s="88">
        <v>44650.0</v>
      </c>
      <c r="B139" s="89">
        <v>2369.0</v>
      </c>
      <c r="C139" s="89">
        <v>1.0</v>
      </c>
      <c r="D139" s="87" t="s">
        <v>204</v>
      </c>
      <c r="E139" s="89">
        <v>0.0</v>
      </c>
      <c r="F139" s="89">
        <v>0.0541</v>
      </c>
      <c r="G139" s="89">
        <v>0.021</v>
      </c>
      <c r="H139" s="87" t="s">
        <v>226</v>
      </c>
      <c r="I139" s="90">
        <f t="shared" si="1"/>
        <v>1.576190476</v>
      </c>
      <c r="J139" s="81">
        <f t="shared" si="2"/>
        <v>0.3881700555</v>
      </c>
    </row>
    <row r="140">
      <c r="A140" s="88">
        <v>44650.0</v>
      </c>
      <c r="B140" s="89">
        <v>2379.0</v>
      </c>
      <c r="C140" s="89">
        <v>1.0</v>
      </c>
      <c r="D140" s="87" t="s">
        <v>204</v>
      </c>
      <c r="E140" s="89">
        <v>0.0</v>
      </c>
      <c r="F140" s="89">
        <v>0.0181</v>
      </c>
      <c r="G140" s="89">
        <v>0.007</v>
      </c>
      <c r="H140" s="87" t="s">
        <v>226</v>
      </c>
      <c r="I140" s="90">
        <f t="shared" si="1"/>
        <v>1.585714286</v>
      </c>
      <c r="J140" s="81">
        <f t="shared" si="2"/>
        <v>0.3867403315</v>
      </c>
    </row>
    <row r="141">
      <c r="A141" s="88">
        <v>44650.0</v>
      </c>
      <c r="B141" s="89">
        <v>2346.0</v>
      </c>
      <c r="C141" s="89">
        <v>2.0</v>
      </c>
      <c r="D141" s="87" t="s">
        <v>204</v>
      </c>
      <c r="E141" s="89">
        <v>0.0</v>
      </c>
      <c r="F141" s="89">
        <v>0.026</v>
      </c>
      <c r="G141" s="89">
        <v>0.01</v>
      </c>
      <c r="H141" s="87" t="s">
        <v>226</v>
      </c>
      <c r="I141" s="90">
        <f t="shared" si="1"/>
        <v>1.6</v>
      </c>
      <c r="J141" s="81">
        <f t="shared" si="2"/>
        <v>0.3846153846</v>
      </c>
    </row>
    <row r="142">
      <c r="A142" s="88">
        <v>44650.0</v>
      </c>
      <c r="B142" s="89">
        <v>2369.0</v>
      </c>
      <c r="C142" s="89">
        <v>3.0</v>
      </c>
      <c r="D142" s="87" t="s">
        <v>205</v>
      </c>
      <c r="E142" s="87" t="s">
        <v>58</v>
      </c>
      <c r="F142" s="89">
        <v>0.4499</v>
      </c>
      <c r="G142" s="89">
        <v>0.172</v>
      </c>
      <c r="H142" s="87" t="s">
        <v>226</v>
      </c>
      <c r="I142" s="90">
        <f t="shared" si="1"/>
        <v>1.615697674</v>
      </c>
      <c r="J142" s="81">
        <f t="shared" si="2"/>
        <v>0.3823071794</v>
      </c>
    </row>
    <row r="143">
      <c r="A143" s="88">
        <v>44650.0</v>
      </c>
      <c r="B143" s="89">
        <v>2369.0</v>
      </c>
      <c r="C143" s="89">
        <v>2.0</v>
      </c>
      <c r="D143" s="87" t="s">
        <v>204</v>
      </c>
      <c r="E143" s="89">
        <v>0.0</v>
      </c>
      <c r="F143" s="89">
        <v>0.0184</v>
      </c>
      <c r="G143" s="89">
        <v>0.007</v>
      </c>
      <c r="H143" s="87" t="s">
        <v>226</v>
      </c>
      <c r="I143" s="90">
        <f t="shared" si="1"/>
        <v>1.628571429</v>
      </c>
      <c r="J143" s="81">
        <f t="shared" si="2"/>
        <v>0.3804347826</v>
      </c>
    </row>
    <row r="144">
      <c r="A144" s="88">
        <v>44650.0</v>
      </c>
      <c r="B144" s="89">
        <v>2367.0</v>
      </c>
      <c r="C144" s="89">
        <v>3.0</v>
      </c>
      <c r="D144" s="87" t="s">
        <v>205</v>
      </c>
      <c r="E144" s="87" t="s">
        <v>58</v>
      </c>
      <c r="F144" s="89">
        <v>0.7471</v>
      </c>
      <c r="G144" s="89">
        <v>0.281</v>
      </c>
      <c r="H144" s="87" t="s">
        <v>226</v>
      </c>
      <c r="I144" s="90">
        <f t="shared" si="1"/>
        <v>1.658718861</v>
      </c>
      <c r="J144" s="81">
        <f t="shared" si="2"/>
        <v>0.3761210012</v>
      </c>
    </row>
    <row r="145">
      <c r="A145" s="88">
        <v>44650.0</v>
      </c>
      <c r="B145" s="89">
        <v>2343.0</v>
      </c>
      <c r="C145" s="89">
        <v>2.0</v>
      </c>
      <c r="D145" s="87" t="s">
        <v>205</v>
      </c>
      <c r="E145" s="87" t="s">
        <v>58</v>
      </c>
      <c r="F145" s="89">
        <v>1.4125</v>
      </c>
      <c r="G145" s="89">
        <v>0.529</v>
      </c>
      <c r="H145" s="87" t="s">
        <v>226</v>
      </c>
      <c r="I145" s="90">
        <f t="shared" si="1"/>
        <v>1.670132325</v>
      </c>
      <c r="J145" s="81">
        <f t="shared" si="2"/>
        <v>0.3745132743</v>
      </c>
    </row>
    <row r="146">
      <c r="A146" s="88">
        <v>44650.0</v>
      </c>
      <c r="B146" s="89">
        <v>2343.0</v>
      </c>
      <c r="C146" s="89">
        <v>1.0</v>
      </c>
      <c r="D146" s="87" t="s">
        <v>204</v>
      </c>
      <c r="E146" s="89">
        <v>0.0</v>
      </c>
      <c r="F146" s="89">
        <v>0.0565</v>
      </c>
      <c r="G146" s="89">
        <v>0.021</v>
      </c>
      <c r="H146" s="87" t="s">
        <v>226</v>
      </c>
      <c r="I146" s="90">
        <f t="shared" si="1"/>
        <v>1.69047619</v>
      </c>
      <c r="J146" s="81">
        <f t="shared" si="2"/>
        <v>0.3716814159</v>
      </c>
    </row>
    <row r="147">
      <c r="A147" s="88">
        <v>44650.0</v>
      </c>
      <c r="B147" s="89">
        <v>2009.0</v>
      </c>
      <c r="C147" s="89">
        <v>3.0</v>
      </c>
      <c r="D147" s="87" t="s">
        <v>205</v>
      </c>
      <c r="E147" s="87" t="s">
        <v>58</v>
      </c>
      <c r="F147" s="89">
        <v>1.2544</v>
      </c>
      <c r="G147" s="89">
        <v>0.461</v>
      </c>
      <c r="H147" s="87" t="s">
        <v>226</v>
      </c>
      <c r="I147" s="90">
        <f t="shared" si="1"/>
        <v>1.721041215</v>
      </c>
      <c r="J147" s="81">
        <f t="shared" si="2"/>
        <v>0.3675063776</v>
      </c>
    </row>
    <row r="148">
      <c r="A148" s="88">
        <v>44650.0</v>
      </c>
      <c r="B148" s="89">
        <v>2009.0</v>
      </c>
      <c r="C148" s="89">
        <v>1.0</v>
      </c>
      <c r="D148" s="87" t="s">
        <v>205</v>
      </c>
      <c r="E148" s="87" t="s">
        <v>58</v>
      </c>
      <c r="F148" s="89">
        <v>0.7187</v>
      </c>
      <c r="G148" s="89">
        <v>0.264</v>
      </c>
      <c r="H148" s="87" t="s">
        <v>226</v>
      </c>
      <c r="I148" s="90">
        <f t="shared" si="1"/>
        <v>1.722348485</v>
      </c>
      <c r="J148" s="81">
        <f t="shared" si="2"/>
        <v>0.3673299012</v>
      </c>
    </row>
    <row r="149">
      <c r="A149" s="88">
        <v>44650.0</v>
      </c>
      <c r="B149" s="89">
        <v>2364.0</v>
      </c>
      <c r="C149" s="89">
        <v>3.0</v>
      </c>
      <c r="D149" s="87" t="s">
        <v>205</v>
      </c>
      <c r="E149" s="87" t="s">
        <v>58</v>
      </c>
      <c r="F149" s="89">
        <v>0.9958</v>
      </c>
      <c r="G149" s="89">
        <v>0.359</v>
      </c>
      <c r="H149" s="87" t="s">
        <v>226</v>
      </c>
      <c r="I149" s="90">
        <f t="shared" si="1"/>
        <v>1.773816156</v>
      </c>
      <c r="J149" s="81">
        <f t="shared" si="2"/>
        <v>0.3605141595</v>
      </c>
    </row>
    <row r="150">
      <c r="A150" s="88">
        <v>44650.0</v>
      </c>
      <c r="B150" s="89">
        <v>2346.0</v>
      </c>
      <c r="C150" s="89">
        <v>1.0</v>
      </c>
      <c r="D150" s="87" t="s">
        <v>204</v>
      </c>
      <c r="E150" s="89">
        <v>0.0</v>
      </c>
      <c r="F150" s="89">
        <v>0.0333</v>
      </c>
      <c r="G150" s="89">
        <v>0.012</v>
      </c>
      <c r="H150" s="87" t="s">
        <v>226</v>
      </c>
      <c r="I150" s="90">
        <f t="shared" si="1"/>
        <v>1.775</v>
      </c>
      <c r="J150" s="81">
        <f t="shared" si="2"/>
        <v>0.3603603604</v>
      </c>
    </row>
    <row r="151">
      <c r="A151" s="88">
        <v>44650.0</v>
      </c>
      <c r="B151" s="89">
        <v>2346.0</v>
      </c>
      <c r="C151" s="89">
        <v>2.0</v>
      </c>
      <c r="D151" s="87" t="s">
        <v>205</v>
      </c>
      <c r="E151" s="87" t="s">
        <v>58</v>
      </c>
      <c r="F151" s="89">
        <v>0.2559</v>
      </c>
      <c r="G151" s="89">
        <v>0.092</v>
      </c>
      <c r="H151" s="87" t="s">
        <v>226</v>
      </c>
      <c r="I151" s="90">
        <f t="shared" si="1"/>
        <v>1.781521739</v>
      </c>
      <c r="J151" s="81">
        <f t="shared" si="2"/>
        <v>0.3595154357</v>
      </c>
    </row>
    <row r="152">
      <c r="A152" s="88">
        <v>44650.0</v>
      </c>
      <c r="B152" s="89">
        <v>2009.0</v>
      </c>
      <c r="C152" s="89">
        <v>2.0</v>
      </c>
      <c r="D152" s="87" t="s">
        <v>205</v>
      </c>
      <c r="E152" s="87" t="s">
        <v>58</v>
      </c>
      <c r="F152" s="89">
        <v>0.9085</v>
      </c>
      <c r="G152" s="89">
        <v>0.326</v>
      </c>
      <c r="H152" s="87" t="s">
        <v>226</v>
      </c>
      <c r="I152" s="90">
        <f t="shared" si="1"/>
        <v>1.786809816</v>
      </c>
      <c r="J152" s="81">
        <f t="shared" si="2"/>
        <v>0.3588332416</v>
      </c>
    </row>
    <row r="153">
      <c r="A153" s="88">
        <v>44650.0</v>
      </c>
      <c r="B153" s="89">
        <v>2367.0</v>
      </c>
      <c r="C153" s="89">
        <v>1.0</v>
      </c>
      <c r="D153" s="87" t="s">
        <v>205</v>
      </c>
      <c r="E153" s="87" t="s">
        <v>58</v>
      </c>
      <c r="F153" s="89">
        <v>0.9452</v>
      </c>
      <c r="G153" s="89">
        <v>0.335</v>
      </c>
      <c r="H153" s="87" t="s">
        <v>226</v>
      </c>
      <c r="I153" s="90">
        <f t="shared" si="1"/>
        <v>1.821492537</v>
      </c>
      <c r="J153" s="81">
        <f t="shared" si="2"/>
        <v>0.3544223445</v>
      </c>
    </row>
    <row r="154">
      <c r="A154" s="88">
        <v>44650.0</v>
      </c>
      <c r="B154" s="89">
        <v>2343.0</v>
      </c>
      <c r="C154" s="89">
        <v>3.0</v>
      </c>
      <c r="D154" s="87" t="s">
        <v>205</v>
      </c>
      <c r="E154" s="87" t="s">
        <v>58</v>
      </c>
      <c r="F154" s="89">
        <v>0.3604</v>
      </c>
      <c r="G154" s="89">
        <v>0.126</v>
      </c>
      <c r="H154" s="87" t="s">
        <v>226</v>
      </c>
      <c r="I154" s="90">
        <f t="shared" si="1"/>
        <v>1.86031746</v>
      </c>
      <c r="J154" s="81">
        <f t="shared" si="2"/>
        <v>0.3496115427</v>
      </c>
    </row>
    <row r="155">
      <c r="A155" s="88">
        <v>44650.0</v>
      </c>
      <c r="B155" s="89">
        <v>2378.0</v>
      </c>
      <c r="C155" s="89">
        <v>3.0</v>
      </c>
      <c r="D155" s="87" t="s">
        <v>204</v>
      </c>
      <c r="E155" s="89">
        <v>0.0</v>
      </c>
      <c r="F155" s="89">
        <v>0.043</v>
      </c>
      <c r="G155" s="89">
        <v>0.015</v>
      </c>
      <c r="H155" s="87" t="s">
        <v>226</v>
      </c>
      <c r="I155" s="90">
        <f t="shared" si="1"/>
        <v>1.866666667</v>
      </c>
      <c r="J155" s="81">
        <f t="shared" si="2"/>
        <v>0.3488372093</v>
      </c>
    </row>
    <row r="156">
      <c r="A156" s="88">
        <v>44650.0</v>
      </c>
      <c r="B156" s="89">
        <v>2346.0</v>
      </c>
      <c r="C156" s="89">
        <v>1.0</v>
      </c>
      <c r="D156" s="87" t="s">
        <v>205</v>
      </c>
      <c r="E156" s="87" t="s">
        <v>58</v>
      </c>
      <c r="F156" s="89">
        <v>0.5932</v>
      </c>
      <c r="G156" s="89">
        <v>0.205</v>
      </c>
      <c r="H156" s="87" t="s">
        <v>226</v>
      </c>
      <c r="I156" s="90">
        <f t="shared" si="1"/>
        <v>1.893658537</v>
      </c>
      <c r="J156" s="81">
        <f t="shared" si="2"/>
        <v>0.3455832771</v>
      </c>
    </row>
    <row r="157">
      <c r="A157" s="88">
        <v>44650.0</v>
      </c>
      <c r="B157" s="89">
        <v>2347.0</v>
      </c>
      <c r="C157" s="89">
        <v>1.0</v>
      </c>
      <c r="D157" s="87" t="s">
        <v>205</v>
      </c>
      <c r="E157" s="87" t="s">
        <v>58</v>
      </c>
      <c r="F157" s="89">
        <v>1.6727</v>
      </c>
      <c r="G157" s="89">
        <v>0.572</v>
      </c>
      <c r="H157" s="87" t="s">
        <v>226</v>
      </c>
      <c r="I157" s="90">
        <f t="shared" si="1"/>
        <v>1.924300699</v>
      </c>
      <c r="J157" s="81">
        <f t="shared" si="2"/>
        <v>0.3419620972</v>
      </c>
    </row>
    <row r="158">
      <c r="A158" s="88">
        <v>44650.0</v>
      </c>
      <c r="B158" s="89">
        <v>2343.0</v>
      </c>
      <c r="C158" s="89">
        <v>3.0</v>
      </c>
      <c r="D158" s="87" t="s">
        <v>204</v>
      </c>
      <c r="E158" s="89">
        <v>0.0</v>
      </c>
      <c r="F158" s="89">
        <v>0.0382</v>
      </c>
      <c r="G158" s="89">
        <v>0.013</v>
      </c>
      <c r="H158" s="87" t="s">
        <v>226</v>
      </c>
      <c r="I158" s="90">
        <f t="shared" si="1"/>
        <v>1.938461538</v>
      </c>
      <c r="J158" s="81">
        <f t="shared" si="2"/>
        <v>0.3403141361</v>
      </c>
    </row>
    <row r="159">
      <c r="A159" s="88">
        <v>44650.0</v>
      </c>
      <c r="B159" s="89">
        <v>2346.0</v>
      </c>
      <c r="C159" s="89">
        <v>3.0</v>
      </c>
      <c r="D159" s="87" t="s">
        <v>204</v>
      </c>
      <c r="E159" s="89">
        <v>0.0</v>
      </c>
      <c r="F159" s="89">
        <v>0.0059</v>
      </c>
      <c r="G159" s="89">
        <v>0.002</v>
      </c>
      <c r="H159" s="87" t="s">
        <v>226</v>
      </c>
      <c r="I159" s="90">
        <f t="shared" si="1"/>
        <v>1.95</v>
      </c>
      <c r="J159" s="81">
        <f t="shared" si="2"/>
        <v>0.3389830508</v>
      </c>
    </row>
    <row r="160">
      <c r="A160" s="88">
        <v>44650.0</v>
      </c>
      <c r="B160" s="89">
        <v>2369.0</v>
      </c>
      <c r="C160" s="89">
        <v>3.0</v>
      </c>
      <c r="D160" s="87" t="s">
        <v>204</v>
      </c>
      <c r="E160" s="89">
        <v>0.0</v>
      </c>
      <c r="F160" s="89">
        <v>0.0177</v>
      </c>
      <c r="G160" s="89">
        <v>0.006</v>
      </c>
      <c r="H160" s="87" t="s">
        <v>226</v>
      </c>
      <c r="I160" s="90">
        <f t="shared" si="1"/>
        <v>1.95</v>
      </c>
      <c r="J160" s="81">
        <f t="shared" si="2"/>
        <v>0.3389830508</v>
      </c>
    </row>
    <row r="161">
      <c r="A161" s="88">
        <v>44650.0</v>
      </c>
      <c r="B161" s="89">
        <v>2009.0</v>
      </c>
      <c r="C161" s="89">
        <v>2.0</v>
      </c>
      <c r="D161" s="87" t="s">
        <v>204</v>
      </c>
      <c r="E161" s="89">
        <v>0.0</v>
      </c>
      <c r="F161" s="89">
        <v>0.0649</v>
      </c>
      <c r="G161" s="89">
        <v>0.022</v>
      </c>
      <c r="H161" s="87" t="s">
        <v>226</v>
      </c>
      <c r="I161" s="90">
        <f t="shared" si="1"/>
        <v>1.95</v>
      </c>
      <c r="J161" s="81">
        <f t="shared" si="2"/>
        <v>0.3389830508</v>
      </c>
    </row>
    <row r="162">
      <c r="A162" s="88">
        <v>44650.0</v>
      </c>
      <c r="B162" s="89">
        <v>2343.0</v>
      </c>
      <c r="C162" s="89">
        <v>2.0</v>
      </c>
      <c r="D162" s="87" t="s">
        <v>204</v>
      </c>
      <c r="E162" s="89">
        <v>0.0</v>
      </c>
      <c r="F162" s="89">
        <v>0.1298</v>
      </c>
      <c r="G162" s="89">
        <v>0.044</v>
      </c>
      <c r="H162" s="87" t="s">
        <v>226</v>
      </c>
      <c r="I162" s="90">
        <f t="shared" si="1"/>
        <v>1.95</v>
      </c>
      <c r="J162" s="81">
        <f t="shared" si="2"/>
        <v>0.3389830508</v>
      </c>
    </row>
    <row r="163">
      <c r="A163" s="88">
        <v>44650.0</v>
      </c>
      <c r="B163" s="89">
        <v>2372.0</v>
      </c>
      <c r="C163" s="89">
        <v>1.0</v>
      </c>
      <c r="D163" s="87" t="s">
        <v>205</v>
      </c>
      <c r="E163" s="87" t="s">
        <v>58</v>
      </c>
      <c r="F163" s="89">
        <v>0.7638</v>
      </c>
      <c r="G163" s="89">
        <v>0.257</v>
      </c>
      <c r="H163" s="87" t="s">
        <v>226</v>
      </c>
      <c r="I163" s="90">
        <f t="shared" si="1"/>
        <v>1.971984436</v>
      </c>
      <c r="J163" s="81">
        <f t="shared" si="2"/>
        <v>0.3364755172</v>
      </c>
    </row>
    <row r="164">
      <c r="A164" s="88">
        <v>44650.0</v>
      </c>
      <c r="B164" s="89">
        <v>2375.0</v>
      </c>
      <c r="C164" s="89">
        <v>3.0</v>
      </c>
      <c r="D164" s="87" t="s">
        <v>204</v>
      </c>
      <c r="E164" s="87" t="s">
        <v>58</v>
      </c>
      <c r="F164" s="89">
        <v>0.0748</v>
      </c>
      <c r="G164" s="89">
        <v>0.025</v>
      </c>
      <c r="H164" s="87" t="s">
        <v>226</v>
      </c>
      <c r="I164" s="90">
        <f t="shared" si="1"/>
        <v>1.992</v>
      </c>
      <c r="J164" s="81">
        <f t="shared" si="2"/>
        <v>0.3342245989</v>
      </c>
    </row>
    <row r="165">
      <c r="A165" s="88">
        <v>44650.0</v>
      </c>
      <c r="B165" s="89">
        <v>2346.0</v>
      </c>
      <c r="C165" s="89">
        <v>3.0</v>
      </c>
      <c r="D165" s="87" t="s">
        <v>205</v>
      </c>
      <c r="E165" s="87" t="s">
        <v>58</v>
      </c>
      <c r="F165" s="89">
        <v>0.1828</v>
      </c>
      <c r="G165" s="89">
        <v>0.061</v>
      </c>
      <c r="H165" s="87" t="s">
        <v>226</v>
      </c>
      <c r="I165" s="90">
        <f t="shared" si="1"/>
        <v>1.996721311</v>
      </c>
      <c r="J165" s="81">
        <f t="shared" si="2"/>
        <v>0.3336980306</v>
      </c>
    </row>
    <row r="166">
      <c r="A166" s="88">
        <v>44650.0</v>
      </c>
      <c r="B166" s="89">
        <v>2347.0</v>
      </c>
      <c r="C166" s="89">
        <v>3.0</v>
      </c>
      <c r="D166" s="87" t="s">
        <v>205</v>
      </c>
      <c r="E166" s="87" t="s">
        <v>58</v>
      </c>
      <c r="F166" s="89">
        <v>1.1916</v>
      </c>
      <c r="G166" s="89">
        <v>0.397</v>
      </c>
      <c r="H166" s="87" t="s">
        <v>226</v>
      </c>
      <c r="I166" s="90">
        <f t="shared" si="1"/>
        <v>2.001511335</v>
      </c>
      <c r="J166" s="81">
        <f t="shared" si="2"/>
        <v>0.3331654918</v>
      </c>
    </row>
    <row r="167">
      <c r="A167" s="88">
        <v>44650.0</v>
      </c>
      <c r="B167" s="89">
        <v>2009.0</v>
      </c>
      <c r="C167" s="89">
        <v>3.0</v>
      </c>
      <c r="D167" s="87" t="s">
        <v>204</v>
      </c>
      <c r="E167" s="89">
        <v>0.0</v>
      </c>
      <c r="F167" s="89">
        <v>0.0784</v>
      </c>
      <c r="G167" s="89">
        <v>0.026</v>
      </c>
      <c r="H167" s="87" t="s">
        <v>226</v>
      </c>
      <c r="I167" s="90">
        <f t="shared" si="1"/>
        <v>2.015384615</v>
      </c>
      <c r="J167" s="81">
        <f t="shared" si="2"/>
        <v>0.3316326531</v>
      </c>
    </row>
    <row r="168">
      <c r="A168" s="88">
        <v>44650.0</v>
      </c>
      <c r="B168" s="89">
        <v>2372.0</v>
      </c>
      <c r="C168" s="89">
        <v>2.0</v>
      </c>
      <c r="D168" s="87" t="s">
        <v>205</v>
      </c>
      <c r="E168" s="87" t="s">
        <v>58</v>
      </c>
      <c r="F168" s="89">
        <v>0.8885</v>
      </c>
      <c r="G168" s="89">
        <v>0.292</v>
      </c>
      <c r="H168" s="87" t="s">
        <v>226</v>
      </c>
      <c r="I168" s="90">
        <f t="shared" si="1"/>
        <v>2.042808219</v>
      </c>
      <c r="J168" s="81">
        <f t="shared" si="2"/>
        <v>0.3286437817</v>
      </c>
    </row>
    <row r="169">
      <c r="A169" s="88">
        <v>44650.0</v>
      </c>
      <c r="B169" s="89">
        <v>2009.0</v>
      </c>
      <c r="C169" s="89">
        <v>1.0</v>
      </c>
      <c r="D169" s="87" t="s">
        <v>204</v>
      </c>
      <c r="E169" s="89">
        <v>0.0</v>
      </c>
      <c r="F169" s="89">
        <v>0.046</v>
      </c>
      <c r="G169" s="89">
        <v>0.015</v>
      </c>
      <c r="H169" s="87" t="s">
        <v>226</v>
      </c>
      <c r="I169" s="90">
        <f t="shared" si="1"/>
        <v>2.066666667</v>
      </c>
      <c r="J169" s="81">
        <f t="shared" si="2"/>
        <v>0.3260869565</v>
      </c>
    </row>
    <row r="170">
      <c r="A170" s="88">
        <v>44650.0</v>
      </c>
      <c r="B170" s="89">
        <v>2364.0</v>
      </c>
      <c r="C170" s="89">
        <v>3.0</v>
      </c>
      <c r="D170" s="87" t="s">
        <v>204</v>
      </c>
      <c r="E170" s="89">
        <v>0.0</v>
      </c>
      <c r="F170" s="89">
        <v>0.077</v>
      </c>
      <c r="G170" s="89">
        <v>0.025</v>
      </c>
      <c r="H170" s="87" t="s">
        <v>226</v>
      </c>
      <c r="I170" s="90">
        <f t="shared" si="1"/>
        <v>2.08</v>
      </c>
      <c r="J170" s="81">
        <f t="shared" si="2"/>
        <v>0.3246753247</v>
      </c>
    </row>
    <row r="171">
      <c r="A171" s="88">
        <v>44650.0</v>
      </c>
      <c r="B171" s="89">
        <v>2367.0</v>
      </c>
      <c r="C171" s="89">
        <v>1.0</v>
      </c>
      <c r="D171" s="87" t="s">
        <v>204</v>
      </c>
      <c r="E171" s="89">
        <v>0.0</v>
      </c>
      <c r="F171" s="89">
        <v>0.1001</v>
      </c>
      <c r="G171" s="89">
        <v>0.032</v>
      </c>
      <c r="H171" s="87" t="s">
        <v>226</v>
      </c>
      <c r="I171" s="90">
        <f t="shared" si="1"/>
        <v>2.128125</v>
      </c>
      <c r="J171" s="81">
        <f t="shared" si="2"/>
        <v>0.3196803197</v>
      </c>
    </row>
    <row r="172">
      <c r="A172" s="88">
        <v>44650.0</v>
      </c>
      <c r="B172" s="89">
        <v>2360.0</v>
      </c>
      <c r="C172" s="89">
        <v>2.0</v>
      </c>
      <c r="D172" s="87" t="s">
        <v>204</v>
      </c>
      <c r="E172" s="89">
        <v>0.0</v>
      </c>
      <c r="F172" s="89">
        <v>0.097</v>
      </c>
      <c r="G172" s="89">
        <v>0.031</v>
      </c>
      <c r="H172" s="87" t="s">
        <v>226</v>
      </c>
      <c r="I172" s="90">
        <f t="shared" si="1"/>
        <v>2.129032258</v>
      </c>
      <c r="J172" s="81">
        <f t="shared" si="2"/>
        <v>0.3195876289</v>
      </c>
    </row>
    <row r="173">
      <c r="A173" s="88">
        <v>44650.0</v>
      </c>
      <c r="B173" s="89">
        <v>2347.0</v>
      </c>
      <c r="C173" s="89">
        <v>1.0</v>
      </c>
      <c r="D173" s="87" t="s">
        <v>204</v>
      </c>
      <c r="E173" s="89">
        <v>0.0</v>
      </c>
      <c r="F173" s="89">
        <v>0.1625</v>
      </c>
      <c r="G173" s="89">
        <v>0.051</v>
      </c>
      <c r="H173" s="87" t="s">
        <v>226</v>
      </c>
      <c r="I173" s="90">
        <f t="shared" si="1"/>
        <v>2.18627451</v>
      </c>
      <c r="J173" s="81">
        <f t="shared" si="2"/>
        <v>0.3138461538</v>
      </c>
    </row>
    <row r="174">
      <c r="A174" s="88">
        <v>44650.0</v>
      </c>
      <c r="B174" s="89">
        <v>2375.0</v>
      </c>
      <c r="C174" s="89">
        <v>2.0</v>
      </c>
      <c r="D174" s="87" t="s">
        <v>204</v>
      </c>
      <c r="E174" s="89">
        <v>0.0</v>
      </c>
      <c r="F174" s="89">
        <v>0.0451</v>
      </c>
      <c r="G174" s="89">
        <v>0.014</v>
      </c>
      <c r="H174" s="87" t="s">
        <v>226</v>
      </c>
      <c r="I174" s="90">
        <f t="shared" si="1"/>
        <v>2.221428571</v>
      </c>
      <c r="J174" s="81">
        <f t="shared" si="2"/>
        <v>0.310421286</v>
      </c>
    </row>
    <row r="175">
      <c r="A175" s="88">
        <v>44650.0</v>
      </c>
      <c r="B175" s="89">
        <v>2367.0</v>
      </c>
      <c r="C175" s="89">
        <v>1.0</v>
      </c>
      <c r="D175" s="87" t="s">
        <v>204</v>
      </c>
      <c r="E175" s="89">
        <v>0.0</v>
      </c>
      <c r="F175" s="89">
        <v>0.1228</v>
      </c>
      <c r="G175" s="89">
        <v>0.038</v>
      </c>
      <c r="H175" s="87" t="s">
        <v>226</v>
      </c>
      <c r="I175" s="90">
        <f t="shared" si="1"/>
        <v>2.231578947</v>
      </c>
      <c r="J175" s="81">
        <f t="shared" si="2"/>
        <v>0.3094462541</v>
      </c>
    </row>
    <row r="176">
      <c r="A176" s="88">
        <v>44650.0</v>
      </c>
      <c r="B176" s="89">
        <v>2347.0</v>
      </c>
      <c r="C176" s="89">
        <v>2.0</v>
      </c>
      <c r="D176" s="87" t="s">
        <v>204</v>
      </c>
      <c r="E176" s="89">
        <v>0.0</v>
      </c>
      <c r="F176" s="89">
        <v>0.0291</v>
      </c>
      <c r="G176" s="89">
        <v>0.009</v>
      </c>
      <c r="H176" s="87" t="s">
        <v>226</v>
      </c>
      <c r="I176" s="90">
        <f t="shared" si="1"/>
        <v>2.233333333</v>
      </c>
      <c r="J176" s="81">
        <f t="shared" si="2"/>
        <v>0.3092783505</v>
      </c>
    </row>
    <row r="177">
      <c r="A177" s="88">
        <v>44650.0</v>
      </c>
      <c r="B177" s="89">
        <v>2347.0</v>
      </c>
      <c r="C177" s="89">
        <v>3.0</v>
      </c>
      <c r="D177" s="87" t="s">
        <v>204</v>
      </c>
      <c r="E177" s="89">
        <v>0.0</v>
      </c>
      <c r="F177" s="89">
        <v>0.1659</v>
      </c>
      <c r="G177" s="89">
        <v>0.051</v>
      </c>
      <c r="H177" s="87" t="s">
        <v>226</v>
      </c>
      <c r="I177" s="90">
        <f t="shared" si="1"/>
        <v>2.252941176</v>
      </c>
      <c r="J177" s="81">
        <f t="shared" si="2"/>
        <v>0.3074141049</v>
      </c>
    </row>
    <row r="178">
      <c r="A178" s="88">
        <v>44650.0</v>
      </c>
      <c r="B178" s="89">
        <v>2375.0</v>
      </c>
      <c r="C178" s="89">
        <v>1.0</v>
      </c>
      <c r="D178" s="87" t="s">
        <v>204</v>
      </c>
      <c r="E178" s="89">
        <v>0.0</v>
      </c>
      <c r="F178" s="89">
        <v>0.0457</v>
      </c>
      <c r="G178" s="89">
        <v>0.014</v>
      </c>
      <c r="H178" s="87" t="s">
        <v>226</v>
      </c>
      <c r="I178" s="90">
        <f t="shared" si="1"/>
        <v>2.264285714</v>
      </c>
      <c r="J178" s="81">
        <f t="shared" si="2"/>
        <v>0.306345733</v>
      </c>
    </row>
    <row r="179">
      <c r="A179" s="88">
        <v>44650.0</v>
      </c>
      <c r="B179" s="89">
        <v>2372.0</v>
      </c>
      <c r="C179" s="89">
        <v>1.0</v>
      </c>
      <c r="D179" s="87" t="s">
        <v>204</v>
      </c>
      <c r="E179" s="89">
        <v>0.0</v>
      </c>
      <c r="F179" s="89">
        <v>0.0622</v>
      </c>
      <c r="G179" s="89">
        <v>0.019</v>
      </c>
      <c r="H179" s="87" t="s">
        <v>226</v>
      </c>
      <c r="I179" s="90">
        <f t="shared" si="1"/>
        <v>2.273684211</v>
      </c>
      <c r="J179" s="81">
        <f t="shared" si="2"/>
        <v>0.3054662379</v>
      </c>
    </row>
    <row r="180">
      <c r="A180" s="88">
        <v>44650.0</v>
      </c>
      <c r="B180" s="89">
        <v>2347.0</v>
      </c>
      <c r="C180" s="89">
        <v>2.0</v>
      </c>
      <c r="D180" s="87" t="s">
        <v>205</v>
      </c>
      <c r="E180" s="87" t="s">
        <v>58</v>
      </c>
      <c r="F180" s="89">
        <v>0.4425</v>
      </c>
      <c r="G180" s="89">
        <v>0.133</v>
      </c>
      <c r="H180" s="87" t="s">
        <v>226</v>
      </c>
      <c r="I180" s="90">
        <f t="shared" si="1"/>
        <v>2.327067669</v>
      </c>
      <c r="J180" s="81">
        <f t="shared" si="2"/>
        <v>0.3005649718</v>
      </c>
    </row>
    <row r="181">
      <c r="A181" s="88">
        <v>44650.0</v>
      </c>
      <c r="B181" s="89">
        <v>2375.0</v>
      </c>
      <c r="C181" s="89">
        <v>1.0</v>
      </c>
      <c r="D181" s="87" t="s">
        <v>205</v>
      </c>
      <c r="E181" s="87" t="s">
        <v>58</v>
      </c>
      <c r="F181" s="89">
        <v>0.4871</v>
      </c>
      <c r="G181" s="89">
        <v>0.145</v>
      </c>
      <c r="H181" s="87" t="s">
        <v>226</v>
      </c>
      <c r="I181" s="90">
        <f t="shared" si="1"/>
        <v>2.359310345</v>
      </c>
      <c r="J181" s="81">
        <f t="shared" si="2"/>
        <v>0.2976801478</v>
      </c>
    </row>
    <row r="182">
      <c r="A182" s="88">
        <v>44650.0</v>
      </c>
      <c r="B182" s="89">
        <v>2375.0</v>
      </c>
      <c r="C182" s="89">
        <v>3.0</v>
      </c>
      <c r="D182" s="87" t="s">
        <v>205</v>
      </c>
      <c r="E182" s="87" t="s">
        <v>58</v>
      </c>
      <c r="F182" s="89">
        <v>0.7933</v>
      </c>
      <c r="G182" s="89">
        <v>0.235</v>
      </c>
      <c r="H182" s="87" t="s">
        <v>226</v>
      </c>
      <c r="I182" s="90">
        <f t="shared" si="1"/>
        <v>2.375744681</v>
      </c>
      <c r="J182" s="81">
        <f t="shared" si="2"/>
        <v>0.2962309341</v>
      </c>
    </row>
    <row r="183">
      <c r="A183" s="88">
        <v>44650.0</v>
      </c>
      <c r="B183" s="89">
        <v>2370.0</v>
      </c>
      <c r="C183" s="89">
        <v>3.0</v>
      </c>
      <c r="D183" s="87" t="s">
        <v>204</v>
      </c>
      <c r="E183" s="89">
        <v>0.0</v>
      </c>
      <c r="F183" s="89">
        <v>0.0306</v>
      </c>
      <c r="G183" s="89">
        <v>0.009</v>
      </c>
      <c r="H183" s="87" t="s">
        <v>226</v>
      </c>
      <c r="I183" s="90">
        <f t="shared" si="1"/>
        <v>2.4</v>
      </c>
      <c r="J183" s="81">
        <f t="shared" si="2"/>
        <v>0.2941176471</v>
      </c>
    </row>
    <row r="184">
      <c r="A184" s="88">
        <v>44650.0</v>
      </c>
      <c r="B184" s="89">
        <v>2370.0</v>
      </c>
      <c r="C184" s="89">
        <v>3.0</v>
      </c>
      <c r="D184" s="87" t="s">
        <v>205</v>
      </c>
      <c r="E184" s="87" t="s">
        <v>58</v>
      </c>
      <c r="F184" s="89">
        <v>0.5121</v>
      </c>
      <c r="G184" s="89">
        <v>0.15</v>
      </c>
      <c r="H184" s="87" t="s">
        <v>226</v>
      </c>
      <c r="I184" s="90">
        <f t="shared" si="1"/>
        <v>2.414</v>
      </c>
      <c r="J184" s="81">
        <f t="shared" si="2"/>
        <v>0.2929115407</v>
      </c>
    </row>
    <row r="185">
      <c r="A185" s="88">
        <v>44650.0</v>
      </c>
      <c r="B185" s="89">
        <v>2372.0</v>
      </c>
      <c r="C185" s="89">
        <v>2.0</v>
      </c>
      <c r="D185" s="87" t="s">
        <v>204</v>
      </c>
      <c r="E185" s="89">
        <v>0.0</v>
      </c>
      <c r="F185" s="89">
        <v>0.0717</v>
      </c>
      <c r="G185" s="89">
        <v>0.021</v>
      </c>
      <c r="H185" s="87" t="s">
        <v>226</v>
      </c>
      <c r="I185" s="90">
        <f t="shared" si="1"/>
        <v>2.414285714</v>
      </c>
      <c r="J185" s="81">
        <f t="shared" si="2"/>
        <v>0.2928870293</v>
      </c>
    </row>
    <row r="186">
      <c r="A186" s="88">
        <v>44650.0</v>
      </c>
      <c r="B186" s="89">
        <v>2375.0</v>
      </c>
      <c r="C186" s="89">
        <v>2.0</v>
      </c>
      <c r="D186" s="87" t="s">
        <v>205</v>
      </c>
      <c r="E186" s="87" t="s">
        <v>58</v>
      </c>
      <c r="F186" s="89">
        <v>0.4551</v>
      </c>
      <c r="G186" s="89">
        <v>0.132</v>
      </c>
      <c r="H186" s="87" t="s">
        <v>226</v>
      </c>
      <c r="I186" s="90">
        <f t="shared" si="1"/>
        <v>2.447727273</v>
      </c>
      <c r="J186" s="81">
        <f t="shared" si="2"/>
        <v>0.2900461437</v>
      </c>
    </row>
    <row r="187">
      <c r="A187" s="88">
        <v>44650.0</v>
      </c>
      <c r="B187" s="89">
        <v>2371.0</v>
      </c>
      <c r="C187" s="89">
        <v>3.0</v>
      </c>
      <c r="D187" s="87" t="s">
        <v>204</v>
      </c>
      <c r="E187" s="89">
        <v>0.0</v>
      </c>
      <c r="F187" s="89">
        <v>0.0968</v>
      </c>
      <c r="G187" s="89">
        <v>0.028</v>
      </c>
      <c r="H187" s="87" t="s">
        <v>226</v>
      </c>
      <c r="I187" s="90">
        <f t="shared" si="1"/>
        <v>2.457142857</v>
      </c>
      <c r="J187" s="81">
        <f t="shared" si="2"/>
        <v>0.2892561983</v>
      </c>
    </row>
    <row r="188">
      <c r="A188" s="88">
        <v>44650.0</v>
      </c>
      <c r="B188" s="89">
        <v>2371.0</v>
      </c>
      <c r="C188" s="89">
        <v>1.0</v>
      </c>
      <c r="D188" s="87" t="s">
        <v>205</v>
      </c>
      <c r="E188" s="87" t="s">
        <v>58</v>
      </c>
      <c r="F188" s="89">
        <v>0.8268</v>
      </c>
      <c r="G188" s="89">
        <v>0.236</v>
      </c>
      <c r="H188" s="87" t="s">
        <v>226</v>
      </c>
      <c r="I188" s="90">
        <f t="shared" si="1"/>
        <v>2.503389831</v>
      </c>
      <c r="J188" s="81">
        <f t="shared" si="2"/>
        <v>0.2854378326</v>
      </c>
    </row>
    <row r="189">
      <c r="A189" s="88">
        <v>44650.0</v>
      </c>
      <c r="B189" s="89">
        <v>2370.0</v>
      </c>
      <c r="C189" s="89">
        <v>2.0</v>
      </c>
      <c r="D189" s="87" t="s">
        <v>205</v>
      </c>
      <c r="E189" s="87" t="s">
        <v>58</v>
      </c>
      <c r="F189" s="89">
        <v>0.2022</v>
      </c>
      <c r="G189" s="89">
        <v>0.057</v>
      </c>
      <c r="H189" s="87" t="s">
        <v>226</v>
      </c>
      <c r="I189" s="90">
        <f t="shared" si="1"/>
        <v>2.547368421</v>
      </c>
      <c r="J189" s="81">
        <f t="shared" si="2"/>
        <v>0.2818991098</v>
      </c>
    </row>
    <row r="190">
      <c r="A190" s="88">
        <v>44650.0</v>
      </c>
      <c r="B190" s="89">
        <v>2371.0</v>
      </c>
      <c r="C190" s="89">
        <v>3.0</v>
      </c>
      <c r="D190" s="87" t="s">
        <v>205</v>
      </c>
      <c r="E190" s="87" t="s">
        <v>58</v>
      </c>
      <c r="F190" s="89">
        <v>1.3643</v>
      </c>
      <c r="G190" s="89">
        <v>0.381</v>
      </c>
      <c r="H190" s="87" t="s">
        <v>226</v>
      </c>
      <c r="I190" s="90">
        <f t="shared" si="1"/>
        <v>2.580839895</v>
      </c>
      <c r="J190" s="81">
        <f t="shared" si="2"/>
        <v>0.2792640915</v>
      </c>
    </row>
    <row r="191">
      <c r="A191" s="88">
        <v>44650.0</v>
      </c>
      <c r="B191" s="89">
        <v>2371.0</v>
      </c>
      <c r="C191" s="89">
        <v>1.0</v>
      </c>
      <c r="D191" s="87" t="s">
        <v>204</v>
      </c>
      <c r="E191" s="89">
        <v>0.0</v>
      </c>
      <c r="F191" s="89">
        <v>0.0681</v>
      </c>
      <c r="G191" s="89">
        <v>0.019</v>
      </c>
      <c r="H191" s="87" t="s">
        <v>226</v>
      </c>
      <c r="I191" s="90">
        <f t="shared" si="1"/>
        <v>2.584210526</v>
      </c>
      <c r="J191" s="81">
        <f t="shared" si="2"/>
        <v>0.2790014684</v>
      </c>
    </row>
    <row r="192">
      <c r="A192" s="88">
        <v>44650.0</v>
      </c>
      <c r="B192" s="89">
        <v>2367.0</v>
      </c>
      <c r="C192" s="89">
        <v>3.0</v>
      </c>
      <c r="D192" s="87" t="s">
        <v>204</v>
      </c>
      <c r="E192" s="89">
        <v>0.0</v>
      </c>
      <c r="F192" s="89">
        <v>0.0503</v>
      </c>
      <c r="G192" s="89">
        <v>0.014</v>
      </c>
      <c r="H192" s="87" t="s">
        <v>226</v>
      </c>
      <c r="I192" s="90">
        <f t="shared" si="1"/>
        <v>2.592857143</v>
      </c>
      <c r="J192" s="81">
        <f t="shared" si="2"/>
        <v>0.2783300199</v>
      </c>
    </row>
    <row r="193">
      <c r="A193" s="88">
        <v>44650.0</v>
      </c>
      <c r="B193" s="89">
        <v>2370.0</v>
      </c>
      <c r="C193" s="89">
        <v>1.0</v>
      </c>
      <c r="D193" s="87" t="s">
        <v>205</v>
      </c>
      <c r="E193" s="87" t="s">
        <v>58</v>
      </c>
      <c r="F193" s="89">
        <v>0.3183</v>
      </c>
      <c r="G193" s="89">
        <v>0.088</v>
      </c>
      <c r="H193" s="87" t="s">
        <v>226</v>
      </c>
      <c r="I193" s="90">
        <f t="shared" si="1"/>
        <v>2.617045455</v>
      </c>
      <c r="J193" s="81">
        <f t="shared" si="2"/>
        <v>0.2764687402</v>
      </c>
    </row>
    <row r="194">
      <c r="A194" s="88">
        <v>44650.0</v>
      </c>
      <c r="B194" s="89">
        <v>2372.0</v>
      </c>
      <c r="C194" s="89">
        <v>3.0</v>
      </c>
      <c r="D194" s="87" t="s">
        <v>205</v>
      </c>
      <c r="E194" s="87" t="s">
        <v>58</v>
      </c>
      <c r="F194" s="89">
        <v>1.5595</v>
      </c>
      <c r="G194" s="89">
        <v>0.424</v>
      </c>
      <c r="H194" s="87" t="s">
        <v>226</v>
      </c>
      <c r="I194" s="90">
        <f t="shared" si="1"/>
        <v>2.678066038</v>
      </c>
      <c r="J194" s="81">
        <f t="shared" si="2"/>
        <v>0.2718820135</v>
      </c>
    </row>
    <row r="195">
      <c r="A195" s="88">
        <v>44650.0</v>
      </c>
      <c r="B195" s="89">
        <v>2372.0</v>
      </c>
      <c r="C195" s="89">
        <v>3.0</v>
      </c>
      <c r="D195" s="87" t="s">
        <v>204</v>
      </c>
      <c r="E195" s="89">
        <v>0.0</v>
      </c>
      <c r="F195" s="89">
        <v>0.192</v>
      </c>
      <c r="G195" s="89">
        <v>0.052</v>
      </c>
      <c r="H195" s="87" t="s">
        <v>226</v>
      </c>
      <c r="I195" s="90">
        <f t="shared" si="1"/>
        <v>2.692307692</v>
      </c>
      <c r="J195" s="81">
        <f t="shared" si="2"/>
        <v>0.2708333333</v>
      </c>
    </row>
    <row r="196">
      <c r="A196" s="88">
        <v>44650.0</v>
      </c>
      <c r="B196" s="89">
        <v>2371.0</v>
      </c>
      <c r="C196" s="89">
        <v>2.0</v>
      </c>
      <c r="D196" s="87" t="s">
        <v>205</v>
      </c>
      <c r="E196" s="87" t="s">
        <v>58</v>
      </c>
      <c r="F196" s="89">
        <v>0.7536</v>
      </c>
      <c r="G196" s="89">
        <v>0.203</v>
      </c>
      <c r="H196" s="87" t="s">
        <v>226</v>
      </c>
      <c r="I196" s="90">
        <f t="shared" si="1"/>
        <v>2.712315271</v>
      </c>
      <c r="J196" s="81">
        <f t="shared" si="2"/>
        <v>0.269373673</v>
      </c>
    </row>
    <row r="197">
      <c r="A197" s="88">
        <v>44650.0</v>
      </c>
      <c r="B197" s="89">
        <v>2354.0</v>
      </c>
      <c r="C197" s="89">
        <v>2.0</v>
      </c>
      <c r="D197" s="87" t="s">
        <v>204</v>
      </c>
      <c r="E197" s="89">
        <v>0.0</v>
      </c>
      <c r="F197" s="89">
        <v>0.0268</v>
      </c>
      <c r="G197" s="89">
        <v>0.007</v>
      </c>
      <c r="H197" s="87" t="s">
        <v>226</v>
      </c>
      <c r="I197" s="90">
        <f t="shared" si="1"/>
        <v>2.828571429</v>
      </c>
      <c r="J197" s="81">
        <f t="shared" si="2"/>
        <v>0.2611940299</v>
      </c>
    </row>
    <row r="198">
      <c r="A198" s="88">
        <v>44650.0</v>
      </c>
      <c r="B198" s="89">
        <v>2370.0</v>
      </c>
      <c r="C198" s="89">
        <v>1.0</v>
      </c>
      <c r="D198" s="87" t="s">
        <v>204</v>
      </c>
      <c r="E198" s="89">
        <v>0.0</v>
      </c>
      <c r="F198" s="89">
        <v>0.0234</v>
      </c>
      <c r="G198" s="89">
        <v>0.006</v>
      </c>
      <c r="H198" s="87" t="s">
        <v>226</v>
      </c>
      <c r="I198" s="90">
        <f t="shared" si="1"/>
        <v>2.9</v>
      </c>
      <c r="J198" s="81">
        <f t="shared" si="2"/>
        <v>0.2564102564</v>
      </c>
    </row>
    <row r="199">
      <c r="A199" s="88">
        <v>44650.0</v>
      </c>
      <c r="B199" s="89">
        <v>2370.0</v>
      </c>
      <c r="C199" s="89">
        <v>2.0</v>
      </c>
      <c r="D199" s="87" t="s">
        <v>204</v>
      </c>
      <c r="E199" s="89">
        <v>0.0</v>
      </c>
      <c r="F199" s="89">
        <v>0.0588</v>
      </c>
      <c r="G199" s="89">
        <v>0.014</v>
      </c>
      <c r="H199" s="87" t="s">
        <v>226</v>
      </c>
      <c r="I199" s="90">
        <f t="shared" si="1"/>
        <v>3.2</v>
      </c>
      <c r="J199" s="81">
        <f t="shared" si="2"/>
        <v>0.2380952381</v>
      </c>
    </row>
    <row r="200">
      <c r="A200" s="88">
        <v>44650.0</v>
      </c>
      <c r="B200" s="89">
        <v>2361.0</v>
      </c>
      <c r="C200" s="89">
        <v>1.0</v>
      </c>
      <c r="D200" s="87" t="s">
        <v>204</v>
      </c>
      <c r="E200" s="89">
        <v>0.0</v>
      </c>
      <c r="F200" s="87" t="s">
        <v>58</v>
      </c>
      <c r="G200" s="89">
        <v>0.028</v>
      </c>
      <c r="H200" s="87" t="s">
        <v>226</v>
      </c>
      <c r="I200" s="91" t="str">
        <f t="shared" si="1"/>
        <v>#VALUE!</v>
      </c>
      <c r="J200" s="81" t="str">
        <f t="shared" si="2"/>
        <v>#VALUE!</v>
      </c>
    </row>
    <row r="201">
      <c r="A201" s="92">
        <v>44655.0</v>
      </c>
      <c r="B201" s="93">
        <v>2383.0</v>
      </c>
      <c r="C201" s="93">
        <v>1.0</v>
      </c>
      <c r="D201" s="94" t="s">
        <v>205</v>
      </c>
      <c r="E201" s="93">
        <v>0.0</v>
      </c>
      <c r="F201" s="93">
        <v>0.982</v>
      </c>
      <c r="G201" s="93">
        <v>0.491</v>
      </c>
      <c r="H201" s="94" t="s">
        <v>232</v>
      </c>
      <c r="I201" s="95">
        <f t="shared" si="1"/>
        <v>1</v>
      </c>
      <c r="J201" s="96">
        <f t="shared" si="2"/>
        <v>0.5</v>
      </c>
      <c r="K201" s="97">
        <v>1.0</v>
      </c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88">
        <v>44662.0</v>
      </c>
      <c r="B202" s="89">
        <v>2093.0</v>
      </c>
      <c r="C202" s="89">
        <v>1.0</v>
      </c>
      <c r="D202" s="87" t="s">
        <v>205</v>
      </c>
      <c r="E202" s="89">
        <v>1.0</v>
      </c>
      <c r="F202" s="89">
        <v>1.5895</v>
      </c>
      <c r="G202" s="89">
        <v>0.979</v>
      </c>
      <c r="H202" s="87" t="s">
        <v>226</v>
      </c>
      <c r="I202" s="90">
        <f t="shared" si="1"/>
        <v>0.6235955056</v>
      </c>
      <c r="J202" s="81">
        <f t="shared" si="2"/>
        <v>0.615916955</v>
      </c>
    </row>
    <row r="203">
      <c r="A203" s="88">
        <v>44662.0</v>
      </c>
      <c r="B203" s="89">
        <v>2093.0</v>
      </c>
      <c r="C203" s="89">
        <v>2.0</v>
      </c>
      <c r="D203" s="87" t="s">
        <v>205</v>
      </c>
      <c r="E203" s="89">
        <v>0.0</v>
      </c>
      <c r="F203" s="89">
        <v>1.0849</v>
      </c>
      <c r="G203" s="89">
        <v>0.648</v>
      </c>
      <c r="H203" s="87" t="s">
        <v>226</v>
      </c>
      <c r="I203" s="90">
        <f t="shared" si="1"/>
        <v>0.6742283951</v>
      </c>
      <c r="J203" s="81">
        <f t="shared" si="2"/>
        <v>0.5972900728</v>
      </c>
    </row>
    <row r="204">
      <c r="A204" s="88">
        <v>44662.0</v>
      </c>
      <c r="B204" s="89">
        <v>2091.0</v>
      </c>
      <c r="C204" s="89">
        <v>1.0</v>
      </c>
      <c r="D204" s="87" t="s">
        <v>205</v>
      </c>
      <c r="E204" s="89">
        <v>1.0</v>
      </c>
      <c r="F204" s="89">
        <v>2.8019</v>
      </c>
      <c r="G204" s="89">
        <v>1.6554</v>
      </c>
      <c r="H204" s="87" t="s">
        <v>226</v>
      </c>
      <c r="I204" s="90">
        <f t="shared" si="1"/>
        <v>0.6925818533</v>
      </c>
      <c r="J204" s="81">
        <f t="shared" si="2"/>
        <v>0.5908133766</v>
      </c>
    </row>
    <row r="205">
      <c r="A205" s="88">
        <v>44662.0</v>
      </c>
      <c r="B205" s="89">
        <v>2091.0</v>
      </c>
      <c r="C205" s="89">
        <v>2.0</v>
      </c>
      <c r="D205" s="87" t="s">
        <v>204</v>
      </c>
      <c r="E205" s="89">
        <v>1.0</v>
      </c>
      <c r="F205" s="89">
        <v>0.7317</v>
      </c>
      <c r="G205" s="89">
        <v>0.415</v>
      </c>
      <c r="H205" s="87" t="s">
        <v>226</v>
      </c>
      <c r="I205" s="90">
        <f t="shared" si="1"/>
        <v>0.7631325301</v>
      </c>
      <c r="J205" s="81">
        <f t="shared" si="2"/>
        <v>0.5671723384</v>
      </c>
    </row>
    <row r="206">
      <c r="A206" s="88">
        <v>44662.0</v>
      </c>
      <c r="B206" s="89">
        <v>2089.0</v>
      </c>
      <c r="C206" s="89">
        <v>1.0</v>
      </c>
      <c r="D206" s="87" t="s">
        <v>205</v>
      </c>
      <c r="E206" s="89">
        <v>0.0</v>
      </c>
      <c r="F206" s="89">
        <v>0.8061</v>
      </c>
      <c r="G206" s="89">
        <v>0.454</v>
      </c>
      <c r="H206" s="87" t="s">
        <v>226</v>
      </c>
      <c r="I206" s="90">
        <f t="shared" si="1"/>
        <v>0.7755506608</v>
      </c>
      <c r="J206" s="81">
        <f t="shared" si="2"/>
        <v>0.5632055576</v>
      </c>
    </row>
    <row r="207">
      <c r="A207" s="88">
        <v>44662.0</v>
      </c>
      <c r="B207" s="89">
        <v>2092.0</v>
      </c>
      <c r="C207" s="89">
        <v>1.0</v>
      </c>
      <c r="D207" s="87" t="s">
        <v>205</v>
      </c>
      <c r="E207" s="89">
        <v>1.0</v>
      </c>
      <c r="F207" s="89">
        <v>3.8794</v>
      </c>
      <c r="G207" s="89">
        <v>2.108</v>
      </c>
      <c r="H207" s="87" t="s">
        <v>226</v>
      </c>
      <c r="I207" s="90">
        <f t="shared" si="1"/>
        <v>0.8403225806</v>
      </c>
      <c r="J207" s="81">
        <f t="shared" si="2"/>
        <v>0.5433829974</v>
      </c>
    </row>
    <row r="208">
      <c r="A208" s="88">
        <v>44662.0</v>
      </c>
      <c r="B208" s="89">
        <v>2091.0</v>
      </c>
      <c r="C208" s="89">
        <v>2.0</v>
      </c>
      <c r="D208" s="87" t="s">
        <v>204</v>
      </c>
      <c r="E208" s="89">
        <v>1.0</v>
      </c>
      <c r="F208" s="89">
        <v>0.4009</v>
      </c>
      <c r="G208" s="89">
        <v>0.2138</v>
      </c>
      <c r="H208" s="87" t="s">
        <v>226</v>
      </c>
      <c r="I208" s="90">
        <f t="shared" si="1"/>
        <v>0.8751169317</v>
      </c>
      <c r="J208" s="81">
        <f t="shared" si="2"/>
        <v>0.5333000748</v>
      </c>
    </row>
    <row r="209">
      <c r="A209" s="88">
        <v>44662.0</v>
      </c>
      <c r="B209" s="89">
        <v>2093.0</v>
      </c>
      <c r="C209" s="89">
        <v>1.0</v>
      </c>
      <c r="D209" s="87" t="s">
        <v>204</v>
      </c>
      <c r="E209" s="89">
        <v>1.0</v>
      </c>
      <c r="F209" s="89">
        <v>0.1996</v>
      </c>
      <c r="G209" s="89">
        <v>0.1062</v>
      </c>
      <c r="H209" s="87" t="s">
        <v>226</v>
      </c>
      <c r="I209" s="90">
        <f t="shared" si="1"/>
        <v>0.879472693</v>
      </c>
      <c r="J209" s="81">
        <f t="shared" si="2"/>
        <v>0.5320641283</v>
      </c>
    </row>
    <row r="210">
      <c r="A210" s="88">
        <v>44662.0</v>
      </c>
      <c r="B210" s="89">
        <v>2092.0</v>
      </c>
      <c r="C210" s="89">
        <v>2.0</v>
      </c>
      <c r="D210" s="87" t="s">
        <v>204</v>
      </c>
      <c r="E210" s="89">
        <v>1.0</v>
      </c>
      <c r="F210" s="89">
        <v>0.8192</v>
      </c>
      <c r="G210" s="89">
        <v>0.424</v>
      </c>
      <c r="H210" s="87" t="s">
        <v>226</v>
      </c>
      <c r="I210" s="90">
        <f t="shared" si="1"/>
        <v>0.9320754717</v>
      </c>
      <c r="J210" s="81">
        <f t="shared" si="2"/>
        <v>0.517578125</v>
      </c>
    </row>
    <row r="211">
      <c r="A211" s="88">
        <v>44662.0</v>
      </c>
      <c r="B211" s="89">
        <v>2089.0</v>
      </c>
      <c r="C211" s="89">
        <v>2.0</v>
      </c>
      <c r="D211" s="87" t="s">
        <v>205</v>
      </c>
      <c r="E211" s="89">
        <v>1.0</v>
      </c>
      <c r="F211" s="89">
        <v>1.1891</v>
      </c>
      <c r="G211" s="89">
        <v>0.6065</v>
      </c>
      <c r="H211" s="87" t="s">
        <v>226</v>
      </c>
      <c r="I211" s="90">
        <f t="shared" si="1"/>
        <v>0.9605935697</v>
      </c>
      <c r="J211" s="81">
        <f t="shared" si="2"/>
        <v>0.5100496174</v>
      </c>
    </row>
    <row r="212">
      <c r="A212" s="88">
        <v>44662.0</v>
      </c>
      <c r="B212" s="89">
        <v>2089.0</v>
      </c>
      <c r="C212" s="89">
        <v>2.0</v>
      </c>
      <c r="D212" s="87" t="s">
        <v>204</v>
      </c>
      <c r="E212" s="89">
        <v>1.0</v>
      </c>
      <c r="F212" s="89">
        <v>0.4995</v>
      </c>
      <c r="G212" s="89">
        <v>0.2513</v>
      </c>
      <c r="H212" s="87" t="s">
        <v>226</v>
      </c>
      <c r="I212" s="90">
        <f t="shared" si="1"/>
        <v>0.9876641464</v>
      </c>
      <c r="J212" s="81">
        <f t="shared" si="2"/>
        <v>0.5031031031</v>
      </c>
    </row>
    <row r="213">
      <c r="A213" s="88">
        <v>44662.0</v>
      </c>
      <c r="B213" s="89">
        <v>2093.0</v>
      </c>
      <c r="C213" s="89">
        <v>2.0</v>
      </c>
      <c r="D213" s="87" t="s">
        <v>204</v>
      </c>
      <c r="E213" s="89">
        <v>1.0</v>
      </c>
      <c r="F213" s="89">
        <v>0.1942</v>
      </c>
      <c r="G213" s="89">
        <v>0.0973</v>
      </c>
      <c r="H213" s="87" t="s">
        <v>226</v>
      </c>
      <c r="I213" s="90">
        <f t="shared" si="1"/>
        <v>0.9958890031</v>
      </c>
      <c r="J213" s="81">
        <f t="shared" si="2"/>
        <v>0.5010298661</v>
      </c>
    </row>
    <row r="214">
      <c r="A214" s="88">
        <v>44662.0</v>
      </c>
      <c r="B214" s="89">
        <v>2089.0</v>
      </c>
      <c r="C214" s="89">
        <v>1.0</v>
      </c>
      <c r="D214" s="87" t="s">
        <v>204</v>
      </c>
      <c r="E214" s="89">
        <v>1.0</v>
      </c>
      <c r="F214" s="89">
        <v>0.0301</v>
      </c>
      <c r="G214" s="89">
        <v>0.015</v>
      </c>
      <c r="H214" s="87" t="s">
        <v>226</v>
      </c>
      <c r="I214" s="90">
        <f t="shared" si="1"/>
        <v>1.006666667</v>
      </c>
      <c r="J214" s="81">
        <f t="shared" si="2"/>
        <v>0.4983388704</v>
      </c>
    </row>
    <row r="215">
      <c r="A215" s="88">
        <v>44662.0</v>
      </c>
      <c r="B215" s="89">
        <v>2085.0</v>
      </c>
      <c r="C215" s="89">
        <v>1.0</v>
      </c>
      <c r="D215" s="87" t="s">
        <v>204</v>
      </c>
      <c r="E215" s="89">
        <v>1.0</v>
      </c>
      <c r="F215" s="89">
        <v>0.6453</v>
      </c>
      <c r="G215" s="89">
        <v>0.321</v>
      </c>
      <c r="H215" s="87" t="s">
        <v>226</v>
      </c>
      <c r="I215" s="90">
        <f t="shared" si="1"/>
        <v>1.010280374</v>
      </c>
      <c r="J215" s="81">
        <f t="shared" si="2"/>
        <v>0.4974430497</v>
      </c>
    </row>
    <row r="216">
      <c r="A216" s="88">
        <v>44662.0</v>
      </c>
      <c r="B216" s="89">
        <v>2088.0</v>
      </c>
      <c r="C216" s="89">
        <v>2.0</v>
      </c>
      <c r="D216" s="87" t="s">
        <v>204</v>
      </c>
      <c r="E216" s="89">
        <v>1.0</v>
      </c>
      <c r="F216" s="89">
        <v>0.1795</v>
      </c>
      <c r="G216" s="89">
        <v>0.0867</v>
      </c>
      <c r="H216" s="87" t="s">
        <v>226</v>
      </c>
      <c r="I216" s="90">
        <f t="shared" si="1"/>
        <v>1.070357555</v>
      </c>
      <c r="J216" s="81">
        <f t="shared" si="2"/>
        <v>0.4830083565</v>
      </c>
    </row>
    <row r="217">
      <c r="A217" s="88">
        <v>44662.0</v>
      </c>
      <c r="B217" s="89">
        <v>2088.0</v>
      </c>
      <c r="C217" s="89">
        <v>1.0</v>
      </c>
      <c r="D217" s="87" t="s">
        <v>205</v>
      </c>
      <c r="E217" s="89">
        <v>0.0</v>
      </c>
      <c r="F217" s="89">
        <v>0.3283</v>
      </c>
      <c r="G217" s="89">
        <v>0.154</v>
      </c>
      <c r="H217" s="87" t="s">
        <v>226</v>
      </c>
      <c r="I217" s="90">
        <f t="shared" si="1"/>
        <v>1.131818182</v>
      </c>
      <c r="J217" s="81">
        <f t="shared" si="2"/>
        <v>0.4690831557</v>
      </c>
    </row>
    <row r="218">
      <c r="A218" s="88">
        <v>44662.0</v>
      </c>
      <c r="B218" s="89">
        <v>2088.0</v>
      </c>
      <c r="C218" s="89">
        <v>2.0</v>
      </c>
      <c r="D218" s="87" t="s">
        <v>205</v>
      </c>
      <c r="E218" s="89">
        <v>0.0</v>
      </c>
      <c r="F218" s="89">
        <v>0.6404</v>
      </c>
      <c r="G218" s="89">
        <v>0.3</v>
      </c>
      <c r="H218" s="87" t="s">
        <v>226</v>
      </c>
      <c r="I218" s="90">
        <f t="shared" si="1"/>
        <v>1.134666667</v>
      </c>
      <c r="J218" s="81">
        <f t="shared" si="2"/>
        <v>0.4684572142</v>
      </c>
    </row>
    <row r="219">
      <c r="A219" s="88">
        <v>44662.0</v>
      </c>
      <c r="B219" s="89">
        <v>2090.0</v>
      </c>
      <c r="C219" s="89">
        <v>1.0</v>
      </c>
      <c r="D219" s="87" t="s">
        <v>204</v>
      </c>
      <c r="E219" s="89">
        <v>1.0</v>
      </c>
      <c r="F219" s="89">
        <v>0.3071</v>
      </c>
      <c r="G219" s="89">
        <v>0.143</v>
      </c>
      <c r="H219" s="87" t="s">
        <v>226</v>
      </c>
      <c r="I219" s="90">
        <f t="shared" si="1"/>
        <v>1.147552448</v>
      </c>
      <c r="J219" s="81">
        <f t="shared" si="2"/>
        <v>0.4656463693</v>
      </c>
    </row>
    <row r="220">
      <c r="A220" s="88">
        <v>44662.0</v>
      </c>
      <c r="B220" s="89">
        <v>2090.0</v>
      </c>
      <c r="C220" s="89">
        <v>1.0</v>
      </c>
      <c r="D220" s="87" t="s">
        <v>205</v>
      </c>
      <c r="E220" s="89">
        <v>0.0</v>
      </c>
      <c r="F220" s="89">
        <v>1.7516</v>
      </c>
      <c r="G220" s="89">
        <v>0.8078</v>
      </c>
      <c r="H220" s="87" t="s">
        <v>226</v>
      </c>
      <c r="I220" s="90">
        <f t="shared" si="1"/>
        <v>1.168358505</v>
      </c>
      <c r="J220" s="81">
        <f t="shared" si="2"/>
        <v>0.4611783512</v>
      </c>
    </row>
    <row r="221">
      <c r="A221" s="88">
        <v>44662.0</v>
      </c>
      <c r="B221" s="89">
        <v>2086.0</v>
      </c>
      <c r="C221" s="89">
        <v>1.0</v>
      </c>
      <c r="D221" s="87" t="s">
        <v>204</v>
      </c>
      <c r="E221" s="89">
        <v>1.0</v>
      </c>
      <c r="F221" s="89">
        <v>0.1172</v>
      </c>
      <c r="G221" s="89">
        <v>0.054</v>
      </c>
      <c r="H221" s="87" t="s">
        <v>226</v>
      </c>
      <c r="I221" s="90">
        <f t="shared" si="1"/>
        <v>1.17037037</v>
      </c>
      <c r="J221" s="81">
        <f t="shared" si="2"/>
        <v>0.4607508532</v>
      </c>
    </row>
    <row r="222">
      <c r="A222" s="88">
        <v>44662.0</v>
      </c>
      <c r="B222" s="89">
        <v>2088.0</v>
      </c>
      <c r="C222" s="89">
        <v>1.0</v>
      </c>
      <c r="D222" s="87" t="s">
        <v>205</v>
      </c>
      <c r="E222" s="89">
        <v>0.0</v>
      </c>
      <c r="F222" s="89">
        <v>0.8273</v>
      </c>
      <c r="G222" s="89">
        <v>0.381</v>
      </c>
      <c r="H222" s="87" t="s">
        <v>226</v>
      </c>
      <c r="I222" s="90">
        <f t="shared" si="1"/>
        <v>1.171391076</v>
      </c>
      <c r="J222" s="81">
        <f t="shared" si="2"/>
        <v>0.4605342681</v>
      </c>
    </row>
    <row r="223">
      <c r="A223" s="88">
        <v>44662.0</v>
      </c>
      <c r="B223" s="89">
        <v>2085.0</v>
      </c>
      <c r="C223" s="89">
        <v>2.0</v>
      </c>
      <c r="D223" s="87" t="s">
        <v>204</v>
      </c>
      <c r="E223" s="89">
        <v>1.0</v>
      </c>
      <c r="F223" s="89">
        <v>0.2936</v>
      </c>
      <c r="G223" s="89">
        <v>0.1338</v>
      </c>
      <c r="H223" s="87" t="s">
        <v>226</v>
      </c>
      <c r="I223" s="90">
        <f t="shared" si="1"/>
        <v>1.19431988</v>
      </c>
      <c r="J223" s="81">
        <f t="shared" si="2"/>
        <v>0.4557220708</v>
      </c>
    </row>
    <row r="224">
      <c r="A224" s="88">
        <v>44662.0</v>
      </c>
      <c r="B224" s="89">
        <v>2085.0</v>
      </c>
      <c r="C224" s="89">
        <v>1.0</v>
      </c>
      <c r="D224" s="87" t="s">
        <v>205</v>
      </c>
      <c r="E224" s="89">
        <v>0.0</v>
      </c>
      <c r="F224" s="89">
        <v>1.2853</v>
      </c>
      <c r="G224" s="89">
        <v>0.577</v>
      </c>
      <c r="H224" s="87" t="s">
        <v>226</v>
      </c>
      <c r="I224" s="90">
        <f t="shared" si="1"/>
        <v>1.227556326</v>
      </c>
      <c r="J224" s="81">
        <f t="shared" si="2"/>
        <v>0.4489224306</v>
      </c>
    </row>
    <row r="225">
      <c r="A225" s="88">
        <v>44662.0</v>
      </c>
      <c r="B225" s="89">
        <v>2086.0</v>
      </c>
      <c r="C225" s="89">
        <v>2.0</v>
      </c>
      <c r="D225" s="87" t="s">
        <v>205</v>
      </c>
      <c r="E225" s="89">
        <v>0.0</v>
      </c>
      <c r="F225" s="89">
        <v>0.7003</v>
      </c>
      <c r="G225" s="89">
        <v>0.3109</v>
      </c>
      <c r="H225" s="87" t="s">
        <v>226</v>
      </c>
      <c r="I225" s="90">
        <f t="shared" si="1"/>
        <v>1.252492763</v>
      </c>
      <c r="J225" s="81">
        <f t="shared" si="2"/>
        <v>0.4439525917</v>
      </c>
    </row>
    <row r="226">
      <c r="A226" s="88">
        <v>44662.0</v>
      </c>
      <c r="B226" s="89">
        <v>2087.0</v>
      </c>
      <c r="C226" s="89">
        <v>1.0</v>
      </c>
      <c r="D226" s="87" t="s">
        <v>205</v>
      </c>
      <c r="E226" s="89">
        <v>0.0</v>
      </c>
      <c r="F226" s="89">
        <v>1.0511</v>
      </c>
      <c r="G226" s="89">
        <v>0.463</v>
      </c>
      <c r="H226" s="87" t="s">
        <v>226</v>
      </c>
      <c r="I226" s="90">
        <f t="shared" si="1"/>
        <v>1.270194384</v>
      </c>
      <c r="J226" s="81">
        <f t="shared" si="2"/>
        <v>0.4404909143</v>
      </c>
    </row>
    <row r="227">
      <c r="A227" s="88">
        <v>44662.0</v>
      </c>
      <c r="B227" s="89">
        <v>2087.0</v>
      </c>
      <c r="C227" s="89">
        <v>1.0</v>
      </c>
      <c r="D227" s="87" t="s">
        <v>204</v>
      </c>
      <c r="E227" s="89">
        <v>1.0</v>
      </c>
      <c r="F227" s="89">
        <v>0.146</v>
      </c>
      <c r="G227" s="89">
        <v>0.0624</v>
      </c>
      <c r="H227" s="87" t="s">
        <v>226</v>
      </c>
      <c r="I227" s="90">
        <f t="shared" si="1"/>
        <v>1.33974359</v>
      </c>
      <c r="J227" s="81">
        <f t="shared" si="2"/>
        <v>0.4273972603</v>
      </c>
    </row>
    <row r="228">
      <c r="A228" s="88">
        <v>44662.0</v>
      </c>
      <c r="B228" s="89">
        <v>2085.0</v>
      </c>
      <c r="C228" s="89">
        <v>1.0</v>
      </c>
      <c r="D228" s="87" t="s">
        <v>204</v>
      </c>
      <c r="E228" s="89">
        <v>0.0</v>
      </c>
      <c r="F228" s="89">
        <v>0.2913</v>
      </c>
      <c r="G228" s="89">
        <v>0.123</v>
      </c>
      <c r="H228" s="87" t="s">
        <v>226</v>
      </c>
      <c r="I228" s="90">
        <f t="shared" si="1"/>
        <v>1.368292683</v>
      </c>
      <c r="J228" s="81">
        <f t="shared" si="2"/>
        <v>0.4222451081</v>
      </c>
    </row>
    <row r="229">
      <c r="A229" s="88">
        <v>44662.0</v>
      </c>
      <c r="B229" s="89">
        <v>2090.0</v>
      </c>
      <c r="C229" s="89">
        <v>1.0</v>
      </c>
      <c r="D229" s="87" t="s">
        <v>204</v>
      </c>
      <c r="E229" s="89">
        <v>0.0</v>
      </c>
      <c r="F229" s="89">
        <v>0.1856</v>
      </c>
      <c r="G229" s="89">
        <v>0.078</v>
      </c>
      <c r="H229" s="87" t="s">
        <v>226</v>
      </c>
      <c r="I229" s="90">
        <f t="shared" si="1"/>
        <v>1.379487179</v>
      </c>
      <c r="J229" s="81">
        <f t="shared" si="2"/>
        <v>0.4202586207</v>
      </c>
    </row>
    <row r="230">
      <c r="A230" s="88">
        <v>44662.0</v>
      </c>
      <c r="B230" s="89">
        <v>2085.0</v>
      </c>
      <c r="C230" s="89">
        <v>2.0</v>
      </c>
      <c r="D230" s="87" t="s">
        <v>205</v>
      </c>
      <c r="E230" s="89">
        <v>0.0</v>
      </c>
      <c r="F230" s="89">
        <v>1.1492</v>
      </c>
      <c r="G230" s="89">
        <v>0.479</v>
      </c>
      <c r="H230" s="87" t="s">
        <v>226</v>
      </c>
      <c r="I230" s="90">
        <f t="shared" si="1"/>
        <v>1.399164927</v>
      </c>
      <c r="J230" s="81">
        <f t="shared" si="2"/>
        <v>0.4168116951</v>
      </c>
    </row>
    <row r="231">
      <c r="A231" s="88">
        <v>44662.0</v>
      </c>
      <c r="B231" s="89">
        <v>2086.0</v>
      </c>
      <c r="C231" s="89">
        <v>1.0</v>
      </c>
      <c r="D231" s="87" t="s">
        <v>204</v>
      </c>
      <c r="E231" s="89">
        <v>0.0</v>
      </c>
      <c r="F231" s="89">
        <v>0.1356</v>
      </c>
      <c r="G231" s="89">
        <v>0.0565</v>
      </c>
      <c r="H231" s="87" t="s">
        <v>226</v>
      </c>
      <c r="I231" s="90">
        <f t="shared" si="1"/>
        <v>1.4</v>
      </c>
      <c r="J231" s="81">
        <f t="shared" si="2"/>
        <v>0.4166666667</v>
      </c>
    </row>
    <row r="232">
      <c r="A232" s="88">
        <v>44662.0</v>
      </c>
      <c r="B232" s="89">
        <v>2089.0</v>
      </c>
      <c r="C232" s="89">
        <v>1.0</v>
      </c>
      <c r="D232" s="87" t="s">
        <v>205</v>
      </c>
      <c r="E232" s="89">
        <v>0.0</v>
      </c>
      <c r="F232" s="89">
        <v>1.2576</v>
      </c>
      <c r="G232" s="89">
        <v>0.519</v>
      </c>
      <c r="H232" s="87" t="s">
        <v>226</v>
      </c>
      <c r="I232" s="90">
        <f t="shared" si="1"/>
        <v>1.423121387</v>
      </c>
      <c r="J232" s="81">
        <f t="shared" si="2"/>
        <v>0.4126908397</v>
      </c>
    </row>
    <row r="233">
      <c r="A233" s="88">
        <v>44662.0</v>
      </c>
      <c r="B233" s="89">
        <v>2085.0</v>
      </c>
      <c r="C233" s="89">
        <v>2.0</v>
      </c>
      <c r="D233" s="87" t="s">
        <v>204</v>
      </c>
      <c r="E233" s="89">
        <v>0.0</v>
      </c>
      <c r="F233" s="89">
        <v>0.3259</v>
      </c>
      <c r="G233" s="89">
        <v>0.1328</v>
      </c>
      <c r="H233" s="87" t="s">
        <v>226</v>
      </c>
      <c r="I233" s="90">
        <f t="shared" si="1"/>
        <v>1.454066265</v>
      </c>
      <c r="J233" s="81">
        <f t="shared" si="2"/>
        <v>0.4074869592</v>
      </c>
    </row>
    <row r="234">
      <c r="A234" s="88">
        <v>44662.0</v>
      </c>
      <c r="B234" s="89">
        <v>2088.0</v>
      </c>
      <c r="C234" s="89">
        <v>1.0</v>
      </c>
      <c r="D234" s="87" t="s">
        <v>204</v>
      </c>
      <c r="E234" s="89">
        <v>0.0</v>
      </c>
      <c r="F234" s="89">
        <v>0.123</v>
      </c>
      <c r="G234" s="89">
        <v>0.0487</v>
      </c>
      <c r="H234" s="87" t="s">
        <v>226</v>
      </c>
      <c r="I234" s="90">
        <f t="shared" si="1"/>
        <v>1.525667351</v>
      </c>
      <c r="J234" s="81">
        <f t="shared" si="2"/>
        <v>0.3959349593</v>
      </c>
    </row>
    <row r="235">
      <c r="A235" s="88">
        <v>44662.0</v>
      </c>
      <c r="B235" s="89">
        <v>2087.0</v>
      </c>
      <c r="C235" s="89">
        <v>1.0</v>
      </c>
      <c r="D235" s="87" t="s">
        <v>204</v>
      </c>
      <c r="E235" s="89">
        <v>0.0</v>
      </c>
      <c r="F235" s="89">
        <v>0.1963</v>
      </c>
      <c r="G235" s="89">
        <v>0.077</v>
      </c>
      <c r="H235" s="87" t="s">
        <v>226</v>
      </c>
      <c r="I235" s="90">
        <f t="shared" si="1"/>
        <v>1.549350649</v>
      </c>
      <c r="J235" s="81">
        <f t="shared" si="2"/>
        <v>0.3922567499</v>
      </c>
    </row>
    <row r="236">
      <c r="A236" s="88">
        <v>44662.0</v>
      </c>
      <c r="B236" s="89">
        <v>2088.0</v>
      </c>
      <c r="C236" s="89">
        <v>1.0</v>
      </c>
      <c r="D236" s="87" t="s">
        <v>204</v>
      </c>
      <c r="E236" s="89">
        <v>0.0</v>
      </c>
      <c r="F236" s="89">
        <v>0.0411</v>
      </c>
      <c r="G236" s="89">
        <v>0.016</v>
      </c>
      <c r="H236" s="87" t="s">
        <v>226</v>
      </c>
      <c r="I236" s="90">
        <f t="shared" si="1"/>
        <v>1.56875</v>
      </c>
      <c r="J236" s="81">
        <f t="shared" si="2"/>
        <v>0.3892944039</v>
      </c>
    </row>
    <row r="237">
      <c r="A237" s="88">
        <v>44662.0</v>
      </c>
      <c r="B237" s="89">
        <v>2088.0</v>
      </c>
      <c r="C237" s="89">
        <v>2.0</v>
      </c>
      <c r="D237" s="87" t="s">
        <v>204</v>
      </c>
      <c r="E237" s="89">
        <v>0.0</v>
      </c>
      <c r="F237" s="89">
        <v>0.0946</v>
      </c>
      <c r="G237" s="89">
        <v>0.036</v>
      </c>
      <c r="H237" s="87" t="s">
        <v>226</v>
      </c>
      <c r="I237" s="90">
        <f t="shared" si="1"/>
        <v>1.627777778</v>
      </c>
      <c r="J237" s="81">
        <f t="shared" si="2"/>
        <v>0.3805496829</v>
      </c>
    </row>
    <row r="238">
      <c r="A238" s="88">
        <v>44662.0</v>
      </c>
      <c r="B238" s="89">
        <v>2086.0</v>
      </c>
      <c r="C238" s="89">
        <v>2.0</v>
      </c>
      <c r="D238" s="87" t="s">
        <v>204</v>
      </c>
      <c r="E238" s="89">
        <v>0.0</v>
      </c>
      <c r="F238" s="89">
        <v>0.2299</v>
      </c>
      <c r="G238" s="89">
        <v>0.0865</v>
      </c>
      <c r="H238" s="87" t="s">
        <v>226</v>
      </c>
      <c r="I238" s="90">
        <f t="shared" si="1"/>
        <v>1.657803468</v>
      </c>
      <c r="J238" s="81">
        <f t="shared" si="2"/>
        <v>0.3762505437</v>
      </c>
    </row>
    <row r="239">
      <c r="A239" s="88">
        <v>44662.0</v>
      </c>
      <c r="B239" s="89">
        <v>2092.0</v>
      </c>
      <c r="C239" s="89">
        <v>2.0</v>
      </c>
      <c r="D239" s="87" t="s">
        <v>204</v>
      </c>
      <c r="E239" s="89">
        <v>0.0</v>
      </c>
      <c r="F239" s="89">
        <v>0.0816</v>
      </c>
      <c r="G239" s="89">
        <v>0.0283</v>
      </c>
      <c r="H239" s="87" t="s">
        <v>226</v>
      </c>
      <c r="I239" s="90">
        <f t="shared" si="1"/>
        <v>1.883392226</v>
      </c>
      <c r="J239" s="81">
        <f t="shared" si="2"/>
        <v>0.3468137255</v>
      </c>
    </row>
    <row r="240">
      <c r="A240" s="88">
        <v>44662.0</v>
      </c>
      <c r="B240" s="89">
        <v>2093.0</v>
      </c>
      <c r="C240" s="89">
        <v>2.0</v>
      </c>
      <c r="D240" s="87" t="s">
        <v>204</v>
      </c>
      <c r="E240" s="89">
        <v>0.0</v>
      </c>
      <c r="F240" s="89">
        <v>0.0953</v>
      </c>
      <c r="G240" s="89">
        <v>0.0329</v>
      </c>
      <c r="H240" s="87" t="s">
        <v>226</v>
      </c>
      <c r="I240" s="90">
        <f t="shared" si="1"/>
        <v>1.896656535</v>
      </c>
      <c r="J240" s="81">
        <f t="shared" si="2"/>
        <v>0.3452256034</v>
      </c>
    </row>
    <row r="241">
      <c r="A241" s="88">
        <v>44662.0</v>
      </c>
      <c r="B241" s="89">
        <v>2091.0</v>
      </c>
      <c r="C241" s="89">
        <v>1.0</v>
      </c>
      <c r="D241" s="87" t="s">
        <v>204</v>
      </c>
      <c r="E241" s="89">
        <v>0.0</v>
      </c>
      <c r="F241" s="89">
        <v>0.0623</v>
      </c>
      <c r="G241" s="89">
        <v>0.0214</v>
      </c>
      <c r="H241" s="87" t="s">
        <v>226</v>
      </c>
      <c r="I241" s="90">
        <f t="shared" si="1"/>
        <v>1.911214953</v>
      </c>
      <c r="J241" s="81">
        <f t="shared" si="2"/>
        <v>0.3434991974</v>
      </c>
    </row>
    <row r="242">
      <c r="A242" s="88">
        <v>44662.0</v>
      </c>
      <c r="B242" s="89">
        <v>2089.0</v>
      </c>
      <c r="C242" s="89">
        <v>2.0</v>
      </c>
      <c r="D242" s="87" t="s">
        <v>204</v>
      </c>
      <c r="E242" s="89">
        <v>0.0</v>
      </c>
      <c r="F242" s="89">
        <v>0.0582</v>
      </c>
      <c r="G242" s="89">
        <v>0.0194</v>
      </c>
      <c r="H242" s="87" t="s">
        <v>226</v>
      </c>
      <c r="I242" s="90">
        <f t="shared" si="1"/>
        <v>2</v>
      </c>
      <c r="J242" s="81">
        <f t="shared" si="2"/>
        <v>0.3333333333</v>
      </c>
    </row>
    <row r="243">
      <c r="A243" s="88">
        <v>44662.0</v>
      </c>
      <c r="B243" s="89">
        <v>2089.0</v>
      </c>
      <c r="C243" s="89">
        <v>2.0</v>
      </c>
      <c r="D243" s="87" t="s">
        <v>204</v>
      </c>
      <c r="E243" s="89">
        <v>0.0</v>
      </c>
      <c r="F243" s="89">
        <v>0.0426</v>
      </c>
      <c r="G243" s="89">
        <v>0.0133</v>
      </c>
      <c r="H243" s="87" t="s">
        <v>226</v>
      </c>
      <c r="I243" s="90">
        <f t="shared" si="1"/>
        <v>2.203007519</v>
      </c>
      <c r="J243" s="81">
        <f t="shared" si="2"/>
        <v>0.3122065728</v>
      </c>
    </row>
    <row r="244">
      <c r="A244" s="88">
        <v>44662.0</v>
      </c>
      <c r="B244" s="89">
        <v>2089.0</v>
      </c>
      <c r="C244" s="89">
        <v>2.0</v>
      </c>
      <c r="D244" s="87" t="s">
        <v>204</v>
      </c>
      <c r="E244" s="89">
        <v>0.0</v>
      </c>
      <c r="F244" s="89">
        <v>0.1051</v>
      </c>
      <c r="G244" s="89">
        <v>0.0131</v>
      </c>
      <c r="H244" s="87" t="s">
        <v>226</v>
      </c>
      <c r="I244" s="90">
        <f t="shared" si="1"/>
        <v>7.022900763</v>
      </c>
      <c r="J244" s="81">
        <f t="shared" si="2"/>
        <v>0.124643197</v>
      </c>
    </row>
    <row r="245">
      <c r="A245" s="88">
        <v>44663.0</v>
      </c>
      <c r="B245" s="89">
        <v>2331.0</v>
      </c>
      <c r="C245" s="89">
        <v>2.0</v>
      </c>
      <c r="D245" s="87" t="s">
        <v>205</v>
      </c>
      <c r="E245" s="89">
        <v>1.0</v>
      </c>
      <c r="F245" s="89">
        <v>0.942</v>
      </c>
      <c r="G245" s="89">
        <v>0.548</v>
      </c>
      <c r="H245" s="87" t="s">
        <v>229</v>
      </c>
      <c r="I245" s="90">
        <f t="shared" si="1"/>
        <v>0.7189781022</v>
      </c>
      <c r="J245" s="81">
        <f t="shared" si="2"/>
        <v>0.5817409766</v>
      </c>
    </row>
    <row r="246">
      <c r="A246" s="88">
        <v>44663.0</v>
      </c>
      <c r="B246" s="89">
        <v>2331.0</v>
      </c>
      <c r="C246" s="89">
        <v>1.0</v>
      </c>
      <c r="D246" s="87" t="s">
        <v>205</v>
      </c>
      <c r="E246" s="89">
        <v>1.0</v>
      </c>
      <c r="F246" s="89">
        <v>0.471</v>
      </c>
      <c r="G246" s="89">
        <v>0.272</v>
      </c>
      <c r="H246" s="87" t="s">
        <v>229</v>
      </c>
      <c r="I246" s="90">
        <f t="shared" si="1"/>
        <v>0.7316176471</v>
      </c>
      <c r="J246" s="81">
        <f t="shared" si="2"/>
        <v>0.5774946921</v>
      </c>
    </row>
    <row r="247">
      <c r="A247" s="88">
        <v>44663.0</v>
      </c>
      <c r="B247" s="89">
        <v>2354.0</v>
      </c>
      <c r="C247" s="89">
        <v>1.0</v>
      </c>
      <c r="D247" s="87" t="s">
        <v>205</v>
      </c>
      <c r="E247" s="89">
        <v>1.0</v>
      </c>
      <c r="F247" s="89">
        <v>1.115</v>
      </c>
      <c r="G247" s="89">
        <v>0.638</v>
      </c>
      <c r="H247" s="87" t="s">
        <v>229</v>
      </c>
      <c r="I247" s="90">
        <f t="shared" si="1"/>
        <v>0.7476489028</v>
      </c>
      <c r="J247" s="81">
        <f t="shared" si="2"/>
        <v>0.5721973094</v>
      </c>
    </row>
    <row r="248">
      <c r="A248" s="88">
        <v>44663.0</v>
      </c>
      <c r="B248" s="89">
        <v>2354.0</v>
      </c>
      <c r="C248" s="89">
        <v>3.0</v>
      </c>
      <c r="D248" s="87" t="s">
        <v>205</v>
      </c>
      <c r="E248" s="89">
        <v>1.0</v>
      </c>
      <c r="F248" s="89">
        <v>0.282</v>
      </c>
      <c r="G248" s="89">
        <v>0.16</v>
      </c>
      <c r="H248" s="87" t="s">
        <v>229</v>
      </c>
      <c r="I248" s="90">
        <f t="shared" si="1"/>
        <v>0.7625</v>
      </c>
      <c r="J248" s="81">
        <f t="shared" si="2"/>
        <v>0.5673758865</v>
      </c>
    </row>
    <row r="249">
      <c r="A249" s="88">
        <v>44663.0</v>
      </c>
      <c r="B249" s="89">
        <v>2331.0</v>
      </c>
      <c r="C249" s="89">
        <v>1.0</v>
      </c>
      <c r="D249" s="87" t="s">
        <v>205</v>
      </c>
      <c r="E249" s="89">
        <v>1.0</v>
      </c>
      <c r="F249" s="89">
        <v>0.937</v>
      </c>
      <c r="G249" s="89">
        <v>0.528</v>
      </c>
      <c r="H249" s="87" t="s">
        <v>229</v>
      </c>
      <c r="I249" s="90">
        <f t="shared" si="1"/>
        <v>0.7746212121</v>
      </c>
      <c r="J249" s="81">
        <f t="shared" si="2"/>
        <v>0.5635005336</v>
      </c>
    </row>
    <row r="250">
      <c r="A250" s="88">
        <v>44663.0</v>
      </c>
      <c r="B250" s="89">
        <v>2352.0</v>
      </c>
      <c r="C250" s="89">
        <v>2.0</v>
      </c>
      <c r="D250" s="87" t="s">
        <v>205</v>
      </c>
      <c r="E250" s="89">
        <v>1.0</v>
      </c>
      <c r="F250" s="89">
        <v>0.694</v>
      </c>
      <c r="G250" s="89">
        <v>0.388</v>
      </c>
      <c r="H250" s="87" t="s">
        <v>229</v>
      </c>
      <c r="I250" s="90">
        <f t="shared" si="1"/>
        <v>0.7886597938</v>
      </c>
      <c r="J250" s="81">
        <f t="shared" si="2"/>
        <v>0.5590778098</v>
      </c>
    </row>
    <row r="251">
      <c r="A251" s="88">
        <v>44663.0</v>
      </c>
      <c r="B251" s="89">
        <v>2352.0</v>
      </c>
      <c r="C251" s="89">
        <v>1.0</v>
      </c>
      <c r="D251" s="87" t="s">
        <v>205</v>
      </c>
      <c r="E251" s="89">
        <v>1.0</v>
      </c>
      <c r="F251" s="89">
        <v>0.324</v>
      </c>
      <c r="G251" s="89">
        <v>0.181</v>
      </c>
      <c r="H251" s="87" t="s">
        <v>229</v>
      </c>
      <c r="I251" s="90">
        <f t="shared" si="1"/>
        <v>0.7900552486</v>
      </c>
      <c r="J251" s="81">
        <f t="shared" si="2"/>
        <v>0.5586419753</v>
      </c>
    </row>
    <row r="252">
      <c r="A252" s="88">
        <v>44663.0</v>
      </c>
      <c r="B252" s="89">
        <v>2331.0</v>
      </c>
      <c r="C252" s="89">
        <v>2.0</v>
      </c>
      <c r="D252" s="87" t="s">
        <v>205</v>
      </c>
      <c r="E252" s="89">
        <v>1.0</v>
      </c>
      <c r="F252" s="89">
        <v>1.051</v>
      </c>
      <c r="G252" s="89">
        <v>0.585</v>
      </c>
      <c r="H252" s="87" t="s">
        <v>229</v>
      </c>
      <c r="I252" s="90">
        <f t="shared" si="1"/>
        <v>0.7965811966</v>
      </c>
      <c r="J252" s="81">
        <f t="shared" si="2"/>
        <v>0.5566127498</v>
      </c>
    </row>
    <row r="253">
      <c r="A253" s="88">
        <v>44663.0</v>
      </c>
      <c r="B253" s="89">
        <v>2352.0</v>
      </c>
      <c r="C253" s="89">
        <v>2.0</v>
      </c>
      <c r="D253" s="87" t="s">
        <v>204</v>
      </c>
      <c r="E253" s="89">
        <v>1.0</v>
      </c>
      <c r="F253" s="89">
        <v>0.194</v>
      </c>
      <c r="G253" s="89">
        <v>0.099</v>
      </c>
      <c r="H253" s="87" t="s">
        <v>229</v>
      </c>
      <c r="I253" s="90">
        <f t="shared" si="1"/>
        <v>0.9595959596</v>
      </c>
      <c r="J253" s="81">
        <f t="shared" si="2"/>
        <v>0.5103092784</v>
      </c>
    </row>
    <row r="254">
      <c r="A254" s="88">
        <v>44663.0</v>
      </c>
      <c r="B254" s="89">
        <v>2331.0</v>
      </c>
      <c r="C254" s="89">
        <v>1.0</v>
      </c>
      <c r="D254" s="87" t="s">
        <v>204</v>
      </c>
      <c r="E254" s="89">
        <v>1.0</v>
      </c>
      <c r="F254" s="89">
        <v>0.287</v>
      </c>
      <c r="G254" s="89">
        <v>0.145</v>
      </c>
      <c r="H254" s="87" t="s">
        <v>229</v>
      </c>
      <c r="I254" s="90">
        <f t="shared" si="1"/>
        <v>0.9793103448</v>
      </c>
      <c r="J254" s="81">
        <f t="shared" si="2"/>
        <v>0.5052264808</v>
      </c>
    </row>
    <row r="255">
      <c r="A255" s="88">
        <v>44663.0</v>
      </c>
      <c r="B255" s="89">
        <v>2331.0</v>
      </c>
      <c r="C255" s="89">
        <v>1.0</v>
      </c>
      <c r="D255" s="87" t="s">
        <v>204</v>
      </c>
      <c r="E255" s="89">
        <v>1.0</v>
      </c>
      <c r="F255" s="89">
        <v>0.127</v>
      </c>
      <c r="G255" s="89">
        <v>0.064</v>
      </c>
      <c r="H255" s="87" t="s">
        <v>229</v>
      </c>
      <c r="I255" s="90">
        <f t="shared" si="1"/>
        <v>0.984375</v>
      </c>
      <c r="J255" s="81">
        <f t="shared" si="2"/>
        <v>0.5039370079</v>
      </c>
    </row>
    <row r="256">
      <c r="A256" s="88">
        <v>44663.0</v>
      </c>
      <c r="B256" s="89">
        <v>2331.0</v>
      </c>
      <c r="C256" s="89">
        <v>2.0</v>
      </c>
      <c r="D256" s="87" t="s">
        <v>204</v>
      </c>
      <c r="E256" s="89">
        <v>1.0</v>
      </c>
      <c r="F256" s="89">
        <v>0.359</v>
      </c>
      <c r="G256" s="89">
        <v>0.18</v>
      </c>
      <c r="H256" s="87" t="s">
        <v>229</v>
      </c>
      <c r="I256" s="90">
        <f t="shared" si="1"/>
        <v>0.9944444444</v>
      </c>
      <c r="J256" s="81">
        <f t="shared" si="2"/>
        <v>0.5013927577</v>
      </c>
    </row>
    <row r="257">
      <c r="A257" s="88">
        <v>44663.0</v>
      </c>
      <c r="B257" s="89">
        <v>2352.0</v>
      </c>
      <c r="C257" s="89">
        <v>1.0</v>
      </c>
      <c r="D257" s="87" t="s">
        <v>204</v>
      </c>
      <c r="E257" s="89">
        <v>1.0</v>
      </c>
      <c r="F257" s="89">
        <v>0.094</v>
      </c>
      <c r="G257" s="89">
        <v>0.047</v>
      </c>
      <c r="H257" s="87" t="s">
        <v>229</v>
      </c>
      <c r="I257" s="90">
        <f t="shared" si="1"/>
        <v>1</v>
      </c>
      <c r="J257" s="81">
        <f t="shared" si="2"/>
        <v>0.5</v>
      </c>
    </row>
    <row r="258">
      <c r="A258" s="88">
        <v>44663.0</v>
      </c>
      <c r="B258" s="89">
        <v>2331.0</v>
      </c>
      <c r="C258" s="89">
        <v>2.0</v>
      </c>
      <c r="D258" s="87" t="s">
        <v>204</v>
      </c>
      <c r="E258" s="89">
        <v>1.0</v>
      </c>
      <c r="F258" s="89">
        <v>0.301</v>
      </c>
      <c r="G258" s="89">
        <v>0.15</v>
      </c>
      <c r="H258" s="87" t="s">
        <v>229</v>
      </c>
      <c r="I258" s="90">
        <f t="shared" si="1"/>
        <v>1.006666667</v>
      </c>
      <c r="J258" s="81">
        <f t="shared" si="2"/>
        <v>0.4983388704</v>
      </c>
    </row>
    <row r="259">
      <c r="A259" s="88">
        <v>44663.0</v>
      </c>
      <c r="B259" s="89">
        <v>2346.0</v>
      </c>
      <c r="C259" s="89">
        <v>1.0</v>
      </c>
      <c r="D259" s="87" t="s">
        <v>205</v>
      </c>
      <c r="E259" s="89">
        <v>1.0</v>
      </c>
      <c r="F259" s="89">
        <v>0.313</v>
      </c>
      <c r="G259" s="89">
        <v>0.155</v>
      </c>
      <c r="H259" s="87" t="s">
        <v>229</v>
      </c>
      <c r="I259" s="90">
        <f t="shared" si="1"/>
        <v>1.019354839</v>
      </c>
      <c r="J259" s="81">
        <f t="shared" si="2"/>
        <v>0.4952076677</v>
      </c>
    </row>
    <row r="260">
      <c r="A260" s="88">
        <v>44663.0</v>
      </c>
      <c r="B260" s="89">
        <v>2343.0</v>
      </c>
      <c r="C260" s="89">
        <v>1.0</v>
      </c>
      <c r="D260" s="87" t="s">
        <v>205</v>
      </c>
      <c r="E260" s="89">
        <v>0.0</v>
      </c>
      <c r="F260" s="89">
        <v>0.913</v>
      </c>
      <c r="G260" s="89">
        <v>0.419</v>
      </c>
      <c r="H260" s="87" t="s">
        <v>229</v>
      </c>
      <c r="I260" s="90">
        <f t="shared" si="1"/>
        <v>1.178997613</v>
      </c>
      <c r="J260" s="81">
        <f t="shared" si="2"/>
        <v>0.4589266156</v>
      </c>
    </row>
    <row r="261">
      <c r="A261" s="88">
        <v>44663.0</v>
      </c>
      <c r="B261" s="89">
        <v>2343.0</v>
      </c>
      <c r="C261" s="89">
        <v>2.0</v>
      </c>
      <c r="D261" s="87" t="s">
        <v>205</v>
      </c>
      <c r="E261" s="89">
        <v>0.0</v>
      </c>
      <c r="F261" s="89">
        <v>1.224</v>
      </c>
      <c r="G261" s="89">
        <v>0.551</v>
      </c>
      <c r="H261" s="87" t="s">
        <v>229</v>
      </c>
      <c r="I261" s="90">
        <f t="shared" si="1"/>
        <v>1.221415608</v>
      </c>
      <c r="J261" s="81">
        <f t="shared" si="2"/>
        <v>0.4501633987</v>
      </c>
    </row>
    <row r="262">
      <c r="A262" s="88">
        <v>44663.0</v>
      </c>
      <c r="B262" s="89">
        <v>2343.0</v>
      </c>
      <c r="C262" s="89">
        <v>3.0</v>
      </c>
      <c r="D262" s="87" t="s">
        <v>205</v>
      </c>
      <c r="E262" s="89">
        <v>0.0</v>
      </c>
      <c r="F262" s="89">
        <v>0.984</v>
      </c>
      <c r="G262" s="89">
        <v>0.437</v>
      </c>
      <c r="H262" s="87" t="s">
        <v>229</v>
      </c>
      <c r="I262" s="90">
        <f t="shared" si="1"/>
        <v>1.251716247</v>
      </c>
      <c r="J262" s="81">
        <f t="shared" si="2"/>
        <v>0.4441056911</v>
      </c>
    </row>
    <row r="263">
      <c r="A263" s="88">
        <v>44663.0</v>
      </c>
      <c r="B263" s="89">
        <v>2354.0</v>
      </c>
      <c r="C263" s="89">
        <v>3.0</v>
      </c>
      <c r="D263" s="87" t="s">
        <v>204</v>
      </c>
      <c r="E263" s="89">
        <v>1.0</v>
      </c>
      <c r="F263" s="89">
        <v>0.277</v>
      </c>
      <c r="G263" s="89">
        <v>0.122</v>
      </c>
      <c r="H263" s="87" t="s">
        <v>229</v>
      </c>
      <c r="I263" s="90">
        <f t="shared" si="1"/>
        <v>1.270491803</v>
      </c>
      <c r="J263" s="81">
        <f t="shared" si="2"/>
        <v>0.440433213</v>
      </c>
    </row>
    <row r="264">
      <c r="A264" s="88">
        <v>44663.0</v>
      </c>
      <c r="B264" s="89">
        <v>2346.0</v>
      </c>
      <c r="C264" s="89">
        <v>1.0</v>
      </c>
      <c r="D264" s="87" t="s">
        <v>205</v>
      </c>
      <c r="E264" s="89">
        <v>0.0</v>
      </c>
      <c r="F264" s="89">
        <v>0.978</v>
      </c>
      <c r="G264" s="89">
        <v>0.43</v>
      </c>
      <c r="H264" s="87" t="s">
        <v>229</v>
      </c>
      <c r="I264" s="90">
        <f t="shared" si="1"/>
        <v>1.274418605</v>
      </c>
      <c r="J264" s="81">
        <f t="shared" si="2"/>
        <v>0.4396728016</v>
      </c>
    </row>
    <row r="265">
      <c r="A265" s="88">
        <v>44663.0</v>
      </c>
      <c r="B265" s="89">
        <v>2346.0</v>
      </c>
      <c r="C265" s="89">
        <v>3.0</v>
      </c>
      <c r="D265" s="87" t="s">
        <v>205</v>
      </c>
      <c r="E265" s="89">
        <v>0.0</v>
      </c>
      <c r="F265" s="89">
        <v>0.569</v>
      </c>
      <c r="G265" s="89">
        <v>0.249</v>
      </c>
      <c r="H265" s="87" t="s">
        <v>229</v>
      </c>
      <c r="I265" s="90">
        <f t="shared" si="1"/>
        <v>1.285140562</v>
      </c>
      <c r="J265" s="81">
        <f t="shared" si="2"/>
        <v>0.4376098418</v>
      </c>
    </row>
    <row r="266">
      <c r="A266" s="88">
        <v>44663.0</v>
      </c>
      <c r="B266" s="89">
        <v>2009.0</v>
      </c>
      <c r="C266" s="89">
        <v>1.0</v>
      </c>
      <c r="D266" s="87" t="s">
        <v>205</v>
      </c>
      <c r="E266" s="89">
        <v>0.0</v>
      </c>
      <c r="F266" s="89">
        <v>2.33</v>
      </c>
      <c r="G266" s="89">
        <v>1.015</v>
      </c>
      <c r="H266" s="87" t="s">
        <v>229</v>
      </c>
      <c r="I266" s="90">
        <f t="shared" si="1"/>
        <v>1.295566502</v>
      </c>
      <c r="J266" s="81">
        <f t="shared" si="2"/>
        <v>0.4356223176</v>
      </c>
    </row>
    <row r="267">
      <c r="A267" s="88">
        <v>44663.0</v>
      </c>
      <c r="B267" s="89">
        <v>2347.0</v>
      </c>
      <c r="C267" s="89">
        <v>3.0</v>
      </c>
      <c r="D267" s="87" t="s">
        <v>205</v>
      </c>
      <c r="E267" s="89">
        <v>0.0</v>
      </c>
      <c r="F267" s="89">
        <v>0.347</v>
      </c>
      <c r="G267" s="89">
        <v>0.151</v>
      </c>
      <c r="H267" s="87" t="s">
        <v>229</v>
      </c>
      <c r="I267" s="90">
        <f t="shared" si="1"/>
        <v>1.298013245</v>
      </c>
      <c r="J267" s="81">
        <f t="shared" si="2"/>
        <v>0.4351585014</v>
      </c>
    </row>
    <row r="268">
      <c r="A268" s="88">
        <v>44663.0</v>
      </c>
      <c r="B268" s="89">
        <v>2354.0</v>
      </c>
      <c r="C268" s="89">
        <v>2.0</v>
      </c>
      <c r="D268" s="87" t="s">
        <v>205</v>
      </c>
      <c r="E268" s="89">
        <v>0.0</v>
      </c>
      <c r="F268" s="89">
        <v>0.899</v>
      </c>
      <c r="G268" s="89">
        <v>0.387</v>
      </c>
      <c r="H268" s="87" t="s">
        <v>229</v>
      </c>
      <c r="I268" s="90">
        <f t="shared" si="1"/>
        <v>1.322997416</v>
      </c>
      <c r="J268" s="81">
        <f t="shared" si="2"/>
        <v>0.4304783092</v>
      </c>
    </row>
    <row r="269">
      <c r="A269" s="88">
        <v>44663.0</v>
      </c>
      <c r="B269" s="89">
        <v>2347.0</v>
      </c>
      <c r="C269" s="89">
        <v>2.0</v>
      </c>
      <c r="D269" s="87" t="s">
        <v>204</v>
      </c>
      <c r="E269" s="89">
        <v>0.0</v>
      </c>
      <c r="F269" s="89">
        <v>0.049</v>
      </c>
      <c r="G269" s="89">
        <v>0.021</v>
      </c>
      <c r="H269" s="87" t="s">
        <v>229</v>
      </c>
      <c r="I269" s="90">
        <f t="shared" si="1"/>
        <v>1.333333333</v>
      </c>
      <c r="J269" s="81">
        <f t="shared" si="2"/>
        <v>0.4285714286</v>
      </c>
    </row>
    <row r="270">
      <c r="A270" s="88">
        <v>44663.0</v>
      </c>
      <c r="B270" s="89">
        <v>2009.0</v>
      </c>
      <c r="C270" s="89">
        <v>3.0</v>
      </c>
      <c r="D270" s="87" t="s">
        <v>205</v>
      </c>
      <c r="E270" s="89">
        <v>0.0</v>
      </c>
      <c r="F270" s="89">
        <v>2.749</v>
      </c>
      <c r="G270" s="89">
        <v>1.176</v>
      </c>
      <c r="H270" s="87" t="s">
        <v>229</v>
      </c>
      <c r="I270" s="90">
        <f t="shared" si="1"/>
        <v>1.337585034</v>
      </c>
      <c r="J270" s="81">
        <f t="shared" si="2"/>
        <v>0.4277919243</v>
      </c>
    </row>
    <row r="271">
      <c r="A271" s="88">
        <v>44663.0</v>
      </c>
      <c r="B271" s="89">
        <v>2354.0</v>
      </c>
      <c r="C271" s="89">
        <v>1.0</v>
      </c>
      <c r="D271" s="87" t="s">
        <v>204</v>
      </c>
      <c r="E271" s="89">
        <v>1.0</v>
      </c>
      <c r="F271" s="89">
        <v>0.269</v>
      </c>
      <c r="G271" s="89">
        <v>0.115</v>
      </c>
      <c r="H271" s="87" t="s">
        <v>229</v>
      </c>
      <c r="I271" s="90">
        <f t="shared" si="1"/>
        <v>1.339130435</v>
      </c>
      <c r="J271" s="81">
        <f t="shared" si="2"/>
        <v>0.4275092937</v>
      </c>
    </row>
    <row r="272">
      <c r="A272" s="88">
        <v>44663.0</v>
      </c>
      <c r="B272" s="89">
        <v>2354.0</v>
      </c>
      <c r="C272" s="89">
        <v>3.0</v>
      </c>
      <c r="D272" s="87" t="s">
        <v>205</v>
      </c>
      <c r="E272" s="89">
        <v>0.0</v>
      </c>
      <c r="F272" s="89">
        <v>0.496</v>
      </c>
      <c r="G272" s="89">
        <v>0.212</v>
      </c>
      <c r="H272" s="87" t="s">
        <v>229</v>
      </c>
      <c r="I272" s="90">
        <f t="shared" si="1"/>
        <v>1.339622642</v>
      </c>
      <c r="J272" s="81">
        <f t="shared" si="2"/>
        <v>0.4274193548</v>
      </c>
    </row>
    <row r="273">
      <c r="A273" s="88">
        <v>44663.0</v>
      </c>
      <c r="B273" s="89">
        <v>2347.0</v>
      </c>
      <c r="C273" s="89">
        <v>1.0</v>
      </c>
      <c r="D273" s="87" t="s">
        <v>205</v>
      </c>
      <c r="E273" s="89">
        <v>0.0</v>
      </c>
      <c r="F273" s="89">
        <v>1.191</v>
      </c>
      <c r="G273" s="89">
        <v>0.506</v>
      </c>
      <c r="H273" s="87" t="s">
        <v>229</v>
      </c>
      <c r="I273" s="90">
        <f t="shared" si="1"/>
        <v>1.353754941</v>
      </c>
      <c r="J273" s="81">
        <f t="shared" si="2"/>
        <v>0.4248530647</v>
      </c>
    </row>
    <row r="274">
      <c r="A274" s="88">
        <v>44663.0</v>
      </c>
      <c r="B274" s="89">
        <v>2346.0</v>
      </c>
      <c r="C274" s="89">
        <v>2.0</v>
      </c>
      <c r="D274" s="87" t="s">
        <v>205</v>
      </c>
      <c r="E274" s="89">
        <v>0.0</v>
      </c>
      <c r="F274" s="89">
        <v>0.229</v>
      </c>
      <c r="G274" s="89">
        <v>0.097</v>
      </c>
      <c r="H274" s="87" t="s">
        <v>229</v>
      </c>
      <c r="I274" s="90">
        <f t="shared" si="1"/>
        <v>1.360824742</v>
      </c>
      <c r="J274" s="81">
        <f t="shared" si="2"/>
        <v>0.423580786</v>
      </c>
    </row>
    <row r="275">
      <c r="A275" s="88">
        <v>44663.0</v>
      </c>
      <c r="B275" s="89">
        <v>2009.0</v>
      </c>
      <c r="C275" s="89">
        <v>2.0</v>
      </c>
      <c r="D275" s="87" t="s">
        <v>205</v>
      </c>
      <c r="E275" s="89">
        <v>0.0</v>
      </c>
      <c r="F275" s="89">
        <v>0.602</v>
      </c>
      <c r="G275" s="89">
        <v>0.254</v>
      </c>
      <c r="H275" s="87" t="s">
        <v>229</v>
      </c>
      <c r="I275" s="90">
        <f t="shared" si="1"/>
        <v>1.37007874</v>
      </c>
      <c r="J275" s="81">
        <f t="shared" si="2"/>
        <v>0.4219269103</v>
      </c>
    </row>
    <row r="276">
      <c r="A276" s="88">
        <v>44663.0</v>
      </c>
      <c r="B276" s="89">
        <v>2370.0</v>
      </c>
      <c r="C276" s="89">
        <v>3.0</v>
      </c>
      <c r="D276" s="87" t="s">
        <v>204</v>
      </c>
      <c r="E276" s="89">
        <v>0.0</v>
      </c>
      <c r="F276" s="89">
        <v>0.019</v>
      </c>
      <c r="G276" s="89">
        <v>0.008</v>
      </c>
      <c r="H276" s="87" t="s">
        <v>229</v>
      </c>
      <c r="I276" s="90">
        <f t="shared" si="1"/>
        <v>1.375</v>
      </c>
      <c r="J276" s="81">
        <f t="shared" si="2"/>
        <v>0.4210526316</v>
      </c>
    </row>
    <row r="277">
      <c r="A277" s="88">
        <v>44663.0</v>
      </c>
      <c r="B277" s="89">
        <v>2347.0</v>
      </c>
      <c r="C277" s="89">
        <v>2.0</v>
      </c>
      <c r="D277" s="87" t="s">
        <v>205</v>
      </c>
      <c r="E277" s="89">
        <v>0.0</v>
      </c>
      <c r="F277" s="89">
        <v>0.7</v>
      </c>
      <c r="G277" s="89">
        <v>0.294</v>
      </c>
      <c r="H277" s="87" t="s">
        <v>229</v>
      </c>
      <c r="I277" s="90">
        <f t="shared" si="1"/>
        <v>1.380952381</v>
      </c>
      <c r="J277" s="81">
        <f t="shared" si="2"/>
        <v>0.42</v>
      </c>
    </row>
    <row r="278">
      <c r="A278" s="88">
        <v>44663.0</v>
      </c>
      <c r="B278" s="89">
        <v>2354.0</v>
      </c>
      <c r="C278" s="89">
        <v>1.0</v>
      </c>
      <c r="D278" s="87" t="s">
        <v>205</v>
      </c>
      <c r="E278" s="89">
        <v>0.0</v>
      </c>
      <c r="F278" s="89">
        <v>0.83</v>
      </c>
      <c r="G278" s="89">
        <v>0.347</v>
      </c>
      <c r="H278" s="87" t="s">
        <v>229</v>
      </c>
      <c r="I278" s="90">
        <f t="shared" si="1"/>
        <v>1.391930836</v>
      </c>
      <c r="J278" s="81">
        <f t="shared" si="2"/>
        <v>0.4180722892</v>
      </c>
    </row>
    <row r="279">
      <c r="A279" s="88">
        <v>44663.0</v>
      </c>
      <c r="B279" s="89">
        <v>2370.0</v>
      </c>
      <c r="C279" s="89">
        <v>3.0</v>
      </c>
      <c r="D279" s="87" t="s">
        <v>205</v>
      </c>
      <c r="E279" s="89">
        <v>0.0</v>
      </c>
      <c r="F279" s="89">
        <v>0.249</v>
      </c>
      <c r="G279" s="89">
        <v>0.104</v>
      </c>
      <c r="H279" s="87" t="s">
        <v>229</v>
      </c>
      <c r="I279" s="90">
        <f t="shared" si="1"/>
        <v>1.394230769</v>
      </c>
      <c r="J279" s="81">
        <f t="shared" si="2"/>
        <v>0.4176706827</v>
      </c>
    </row>
    <row r="280">
      <c r="A280" s="88">
        <v>44663.0</v>
      </c>
      <c r="B280" s="89">
        <v>2372.0</v>
      </c>
      <c r="C280" s="89">
        <v>1.0</v>
      </c>
      <c r="D280" s="87" t="s">
        <v>205</v>
      </c>
      <c r="E280" s="89">
        <v>0.0</v>
      </c>
      <c r="F280" s="89">
        <v>1.549</v>
      </c>
      <c r="G280" s="89">
        <v>0.642</v>
      </c>
      <c r="H280" s="87" t="s">
        <v>229</v>
      </c>
      <c r="I280" s="90">
        <f t="shared" si="1"/>
        <v>1.412772586</v>
      </c>
      <c r="J280" s="81">
        <f t="shared" si="2"/>
        <v>0.4144609425</v>
      </c>
    </row>
    <row r="281">
      <c r="A281" s="88">
        <v>44663.0</v>
      </c>
      <c r="B281" s="89">
        <v>2346.0</v>
      </c>
      <c r="C281" s="89">
        <v>1.0</v>
      </c>
      <c r="D281" s="87" t="s">
        <v>204</v>
      </c>
      <c r="E281" s="89">
        <v>1.0</v>
      </c>
      <c r="F281" s="89">
        <v>0.266</v>
      </c>
      <c r="G281" s="89">
        <v>0.11</v>
      </c>
      <c r="H281" s="87" t="s">
        <v>229</v>
      </c>
      <c r="I281" s="90">
        <f t="shared" si="1"/>
        <v>1.418181818</v>
      </c>
      <c r="J281" s="81">
        <f t="shared" si="2"/>
        <v>0.4135338346</v>
      </c>
    </row>
    <row r="282">
      <c r="A282" s="88">
        <v>44663.0</v>
      </c>
      <c r="B282" s="89">
        <v>2372.0</v>
      </c>
      <c r="C282" s="89">
        <v>2.0</v>
      </c>
      <c r="D282" s="87" t="s">
        <v>205</v>
      </c>
      <c r="E282" s="89">
        <v>0.0</v>
      </c>
      <c r="F282" s="89">
        <v>1.03</v>
      </c>
      <c r="G282" s="89">
        <v>0.423</v>
      </c>
      <c r="H282" s="87" t="s">
        <v>229</v>
      </c>
      <c r="I282" s="90">
        <f t="shared" si="1"/>
        <v>1.43498818</v>
      </c>
      <c r="J282" s="81">
        <f t="shared" si="2"/>
        <v>0.4106796117</v>
      </c>
    </row>
    <row r="283">
      <c r="A283" s="88">
        <v>44663.0</v>
      </c>
      <c r="B283" s="89">
        <v>2370.0</v>
      </c>
      <c r="C283" s="89">
        <v>1.0</v>
      </c>
      <c r="D283" s="87" t="s">
        <v>205</v>
      </c>
      <c r="E283" s="89">
        <v>0.0</v>
      </c>
      <c r="F283" s="89">
        <v>0.764</v>
      </c>
      <c r="G283" s="89">
        <v>0.311</v>
      </c>
      <c r="H283" s="87" t="s">
        <v>229</v>
      </c>
      <c r="I283" s="90">
        <f t="shared" si="1"/>
        <v>1.45659164</v>
      </c>
      <c r="J283" s="81">
        <f t="shared" si="2"/>
        <v>0.4070680628</v>
      </c>
    </row>
    <row r="284">
      <c r="A284" s="88">
        <v>44663.0</v>
      </c>
      <c r="B284" s="89">
        <v>2348.0</v>
      </c>
      <c r="C284" s="89">
        <v>1.0</v>
      </c>
      <c r="D284" s="87" t="s">
        <v>205</v>
      </c>
      <c r="E284" s="89">
        <v>0.0</v>
      </c>
      <c r="F284" s="89">
        <v>0.915</v>
      </c>
      <c r="G284" s="89">
        <v>0.371</v>
      </c>
      <c r="H284" s="87" t="s">
        <v>229</v>
      </c>
      <c r="I284" s="90">
        <f t="shared" si="1"/>
        <v>1.466307278</v>
      </c>
      <c r="J284" s="81">
        <f t="shared" si="2"/>
        <v>0.4054644809</v>
      </c>
    </row>
    <row r="285">
      <c r="A285" s="88">
        <v>44663.0</v>
      </c>
      <c r="B285" s="89">
        <v>2371.0</v>
      </c>
      <c r="C285" s="89">
        <v>1.0</v>
      </c>
      <c r="D285" s="87" t="s">
        <v>205</v>
      </c>
      <c r="E285" s="89">
        <v>0.0</v>
      </c>
      <c r="F285" s="89">
        <v>1.562</v>
      </c>
      <c r="G285" s="89">
        <v>0.63</v>
      </c>
      <c r="H285" s="87" t="s">
        <v>229</v>
      </c>
      <c r="I285" s="90">
        <f t="shared" si="1"/>
        <v>1.479365079</v>
      </c>
      <c r="J285" s="81">
        <f t="shared" si="2"/>
        <v>0.4033290653</v>
      </c>
    </row>
    <row r="286">
      <c r="A286" s="88">
        <v>44663.0</v>
      </c>
      <c r="B286" s="89">
        <v>2349.0</v>
      </c>
      <c r="C286" s="89">
        <v>3.0</v>
      </c>
      <c r="D286" s="87" t="s">
        <v>204</v>
      </c>
      <c r="E286" s="89">
        <v>0.0</v>
      </c>
      <c r="F286" s="89">
        <v>0.02</v>
      </c>
      <c r="G286" s="89">
        <v>0.008</v>
      </c>
      <c r="H286" s="87" t="s">
        <v>229</v>
      </c>
      <c r="I286" s="90">
        <f t="shared" si="1"/>
        <v>1.5</v>
      </c>
      <c r="J286" s="81">
        <f t="shared" si="2"/>
        <v>0.4</v>
      </c>
    </row>
    <row r="287">
      <c r="A287" s="88">
        <v>44663.0</v>
      </c>
      <c r="B287" s="89">
        <v>2343.0</v>
      </c>
      <c r="C287" s="89">
        <v>3.0</v>
      </c>
      <c r="D287" s="87" t="s">
        <v>204</v>
      </c>
      <c r="E287" s="89">
        <v>0.0</v>
      </c>
      <c r="F287" s="89">
        <v>0.148</v>
      </c>
      <c r="G287" s="89">
        <v>0.059</v>
      </c>
      <c r="H287" s="87" t="s">
        <v>229</v>
      </c>
      <c r="I287" s="90">
        <f t="shared" si="1"/>
        <v>1.508474576</v>
      </c>
      <c r="J287" s="81">
        <f t="shared" si="2"/>
        <v>0.3986486486</v>
      </c>
    </row>
    <row r="288">
      <c r="A288" s="88">
        <v>44663.0</v>
      </c>
      <c r="B288" s="89">
        <v>2348.0</v>
      </c>
      <c r="C288" s="89">
        <v>3.0</v>
      </c>
      <c r="D288" s="87" t="s">
        <v>205</v>
      </c>
      <c r="E288" s="89">
        <v>0.0</v>
      </c>
      <c r="F288" s="89">
        <v>0.537</v>
      </c>
      <c r="G288" s="89">
        <v>0.214</v>
      </c>
      <c r="H288" s="87" t="s">
        <v>229</v>
      </c>
      <c r="I288" s="90">
        <f t="shared" si="1"/>
        <v>1.509345794</v>
      </c>
      <c r="J288" s="81">
        <f t="shared" si="2"/>
        <v>0.3985102421</v>
      </c>
    </row>
    <row r="289">
      <c r="A289" s="88">
        <v>44663.0</v>
      </c>
      <c r="B289" s="89">
        <v>2371.0</v>
      </c>
      <c r="C289" s="89">
        <v>2.0</v>
      </c>
      <c r="D289" s="87" t="s">
        <v>205</v>
      </c>
      <c r="E289" s="89">
        <v>0.0</v>
      </c>
      <c r="F289" s="89">
        <v>0.688</v>
      </c>
      <c r="G289" s="89">
        <v>0.274</v>
      </c>
      <c r="H289" s="87" t="s">
        <v>229</v>
      </c>
      <c r="I289" s="90">
        <f t="shared" si="1"/>
        <v>1.510948905</v>
      </c>
      <c r="J289" s="81">
        <f t="shared" si="2"/>
        <v>0.398255814</v>
      </c>
    </row>
    <row r="290">
      <c r="A290" s="88">
        <v>44663.0</v>
      </c>
      <c r="B290" s="89">
        <v>2009.0</v>
      </c>
      <c r="C290" s="89">
        <v>1.0</v>
      </c>
      <c r="D290" s="87" t="s">
        <v>204</v>
      </c>
      <c r="E290" s="89">
        <v>0.0</v>
      </c>
      <c r="F290" s="89">
        <v>0.259</v>
      </c>
      <c r="G290" s="89">
        <v>0.103</v>
      </c>
      <c r="H290" s="87" t="s">
        <v>229</v>
      </c>
      <c r="I290" s="90">
        <f t="shared" si="1"/>
        <v>1.514563107</v>
      </c>
      <c r="J290" s="81">
        <f t="shared" si="2"/>
        <v>0.3976833977</v>
      </c>
    </row>
    <row r="291">
      <c r="A291" s="88">
        <v>44663.0</v>
      </c>
      <c r="B291" s="89">
        <v>2370.0</v>
      </c>
      <c r="C291" s="89">
        <v>2.0</v>
      </c>
      <c r="D291" s="87" t="s">
        <v>205</v>
      </c>
      <c r="E291" s="89">
        <v>0.0</v>
      </c>
      <c r="F291" s="89">
        <v>0.301</v>
      </c>
      <c r="G291" s="89">
        <v>0.119</v>
      </c>
      <c r="H291" s="87" t="s">
        <v>229</v>
      </c>
      <c r="I291" s="90">
        <f t="shared" si="1"/>
        <v>1.529411765</v>
      </c>
      <c r="J291" s="81">
        <f t="shared" si="2"/>
        <v>0.3953488372</v>
      </c>
    </row>
    <row r="292">
      <c r="A292" s="88">
        <v>44663.0</v>
      </c>
      <c r="B292" s="89">
        <v>2348.0</v>
      </c>
      <c r="C292" s="89">
        <v>2.0</v>
      </c>
      <c r="D292" s="87" t="s">
        <v>205</v>
      </c>
      <c r="E292" s="89">
        <v>0.0</v>
      </c>
      <c r="F292" s="89">
        <v>0.516</v>
      </c>
      <c r="G292" s="89">
        <v>0.204</v>
      </c>
      <c r="H292" s="87" t="s">
        <v>229</v>
      </c>
      <c r="I292" s="90">
        <f t="shared" si="1"/>
        <v>1.529411765</v>
      </c>
      <c r="J292" s="81">
        <f t="shared" si="2"/>
        <v>0.3953488372</v>
      </c>
    </row>
    <row r="293">
      <c r="A293" s="88">
        <v>44663.0</v>
      </c>
      <c r="B293" s="89">
        <v>2009.0</v>
      </c>
      <c r="C293" s="89">
        <v>3.0</v>
      </c>
      <c r="D293" s="87" t="s">
        <v>204</v>
      </c>
      <c r="E293" s="89">
        <v>0.0</v>
      </c>
      <c r="F293" s="89">
        <v>0.325</v>
      </c>
      <c r="G293" s="89">
        <v>0.127</v>
      </c>
      <c r="H293" s="87" t="s">
        <v>229</v>
      </c>
      <c r="I293" s="90">
        <f t="shared" si="1"/>
        <v>1.559055118</v>
      </c>
      <c r="J293" s="81">
        <f t="shared" si="2"/>
        <v>0.3907692308</v>
      </c>
    </row>
    <row r="294">
      <c r="A294" s="88">
        <v>44663.0</v>
      </c>
      <c r="B294" s="89">
        <v>2371.0</v>
      </c>
      <c r="C294" s="89">
        <v>1.0</v>
      </c>
      <c r="D294" s="87" t="s">
        <v>204</v>
      </c>
      <c r="E294" s="89">
        <v>0.0</v>
      </c>
      <c r="F294" s="89">
        <v>0.124</v>
      </c>
      <c r="G294" s="89">
        <v>0.048</v>
      </c>
      <c r="H294" s="87" t="s">
        <v>229</v>
      </c>
      <c r="I294" s="90">
        <f t="shared" si="1"/>
        <v>1.583333333</v>
      </c>
      <c r="J294" s="81">
        <f t="shared" si="2"/>
        <v>0.3870967742</v>
      </c>
    </row>
    <row r="295">
      <c r="A295" s="88">
        <v>44663.0</v>
      </c>
      <c r="B295" s="89">
        <v>2349.0</v>
      </c>
      <c r="C295" s="89">
        <v>3.0</v>
      </c>
      <c r="D295" s="87" t="s">
        <v>205</v>
      </c>
      <c r="E295" s="89">
        <v>0.0</v>
      </c>
      <c r="F295" s="89">
        <v>0.453</v>
      </c>
      <c r="G295" s="89">
        <v>0.174</v>
      </c>
      <c r="H295" s="87" t="s">
        <v>229</v>
      </c>
      <c r="I295" s="90">
        <f t="shared" si="1"/>
        <v>1.603448276</v>
      </c>
      <c r="J295" s="81">
        <f t="shared" si="2"/>
        <v>0.3841059603</v>
      </c>
    </row>
    <row r="296">
      <c r="A296" s="88">
        <v>44663.0</v>
      </c>
      <c r="B296" s="89">
        <v>2349.0</v>
      </c>
      <c r="C296" s="89">
        <v>2.0</v>
      </c>
      <c r="D296" s="87" t="s">
        <v>205</v>
      </c>
      <c r="E296" s="89">
        <v>0.0</v>
      </c>
      <c r="F296" s="89">
        <v>1.207</v>
      </c>
      <c r="G296" s="89">
        <v>0.463</v>
      </c>
      <c r="H296" s="87" t="s">
        <v>229</v>
      </c>
      <c r="I296" s="90">
        <f t="shared" si="1"/>
        <v>1.606911447</v>
      </c>
      <c r="J296" s="81">
        <f t="shared" si="2"/>
        <v>0.3835956918</v>
      </c>
    </row>
    <row r="297">
      <c r="A297" s="88">
        <v>44663.0</v>
      </c>
      <c r="B297" s="89">
        <v>2371.0</v>
      </c>
      <c r="C297" s="89">
        <v>2.0</v>
      </c>
      <c r="D297" s="87" t="s">
        <v>204</v>
      </c>
      <c r="E297" s="89">
        <v>0.0</v>
      </c>
      <c r="F297" s="89">
        <v>0.034</v>
      </c>
      <c r="G297" s="89">
        <v>0.013</v>
      </c>
      <c r="H297" s="87" t="s">
        <v>229</v>
      </c>
      <c r="I297" s="90">
        <f t="shared" si="1"/>
        <v>1.615384615</v>
      </c>
      <c r="J297" s="81">
        <f t="shared" si="2"/>
        <v>0.3823529412</v>
      </c>
    </row>
    <row r="298">
      <c r="A298" s="88">
        <v>44663.0</v>
      </c>
      <c r="B298" s="89">
        <v>2343.0</v>
      </c>
      <c r="C298" s="89">
        <v>2.0</v>
      </c>
      <c r="D298" s="87" t="s">
        <v>204</v>
      </c>
      <c r="E298" s="89">
        <v>0.0</v>
      </c>
      <c r="F298" s="89">
        <v>0.145</v>
      </c>
      <c r="G298" s="89">
        <v>0.055</v>
      </c>
      <c r="H298" s="87" t="s">
        <v>229</v>
      </c>
      <c r="I298" s="90">
        <f t="shared" si="1"/>
        <v>1.636363636</v>
      </c>
      <c r="J298" s="81">
        <f t="shared" si="2"/>
        <v>0.3793103448</v>
      </c>
    </row>
    <row r="299">
      <c r="A299" s="88">
        <v>44663.0</v>
      </c>
      <c r="B299" s="89">
        <v>2346.0</v>
      </c>
      <c r="C299" s="89">
        <v>1.0</v>
      </c>
      <c r="D299" s="87" t="s">
        <v>204</v>
      </c>
      <c r="E299" s="89">
        <v>0.0</v>
      </c>
      <c r="F299" s="89">
        <v>0.203</v>
      </c>
      <c r="G299" s="89">
        <v>0.077</v>
      </c>
      <c r="H299" s="87" t="s">
        <v>229</v>
      </c>
      <c r="I299" s="90">
        <f t="shared" si="1"/>
        <v>1.636363636</v>
      </c>
      <c r="J299" s="81">
        <f t="shared" si="2"/>
        <v>0.3793103448</v>
      </c>
    </row>
    <row r="300">
      <c r="A300" s="88">
        <v>44663.0</v>
      </c>
      <c r="B300" s="89">
        <v>2349.0</v>
      </c>
      <c r="C300" s="89">
        <v>2.0</v>
      </c>
      <c r="D300" s="87" t="s">
        <v>204</v>
      </c>
      <c r="E300" s="89">
        <v>0.0</v>
      </c>
      <c r="F300" s="89">
        <v>0.082</v>
      </c>
      <c r="G300" s="89">
        <v>0.031</v>
      </c>
      <c r="H300" s="87" t="s">
        <v>229</v>
      </c>
      <c r="I300" s="90">
        <f t="shared" si="1"/>
        <v>1.64516129</v>
      </c>
      <c r="J300" s="81">
        <f t="shared" si="2"/>
        <v>0.3780487805</v>
      </c>
    </row>
    <row r="301">
      <c r="A301" s="88">
        <v>44663.0</v>
      </c>
      <c r="B301" s="89">
        <v>2349.0</v>
      </c>
      <c r="C301" s="89">
        <v>1.0</v>
      </c>
      <c r="D301" s="87" t="s">
        <v>205</v>
      </c>
      <c r="E301" s="89">
        <v>0.0</v>
      </c>
      <c r="F301" s="89">
        <v>0.678</v>
      </c>
      <c r="G301" s="89">
        <v>0.255</v>
      </c>
      <c r="H301" s="87" t="s">
        <v>229</v>
      </c>
      <c r="I301" s="90">
        <f t="shared" si="1"/>
        <v>1.658823529</v>
      </c>
      <c r="J301" s="81">
        <f t="shared" si="2"/>
        <v>0.3761061947</v>
      </c>
    </row>
    <row r="302">
      <c r="A302" s="88">
        <v>44663.0</v>
      </c>
      <c r="B302" s="89">
        <v>2343.0</v>
      </c>
      <c r="C302" s="89">
        <v>1.0</v>
      </c>
      <c r="D302" s="87" t="s">
        <v>204</v>
      </c>
      <c r="E302" s="89">
        <v>0.0</v>
      </c>
      <c r="F302" s="89">
        <v>0.125</v>
      </c>
      <c r="G302" s="89">
        <v>0.047</v>
      </c>
      <c r="H302" s="87" t="s">
        <v>229</v>
      </c>
      <c r="I302" s="90">
        <f t="shared" si="1"/>
        <v>1.659574468</v>
      </c>
      <c r="J302" s="81">
        <f t="shared" si="2"/>
        <v>0.376</v>
      </c>
    </row>
    <row r="303">
      <c r="A303" s="88">
        <v>44663.0</v>
      </c>
      <c r="B303" s="89">
        <v>2347.0</v>
      </c>
      <c r="C303" s="89">
        <v>1.0</v>
      </c>
      <c r="D303" s="87" t="s">
        <v>204</v>
      </c>
      <c r="E303" s="89">
        <v>0.0</v>
      </c>
      <c r="F303" s="89">
        <v>0.159</v>
      </c>
      <c r="G303" s="89">
        <v>0.058</v>
      </c>
      <c r="H303" s="87" t="s">
        <v>229</v>
      </c>
      <c r="I303" s="90">
        <f t="shared" si="1"/>
        <v>1.74137931</v>
      </c>
      <c r="J303" s="81">
        <f t="shared" si="2"/>
        <v>0.3647798742</v>
      </c>
    </row>
    <row r="304">
      <c r="A304" s="88">
        <v>44663.0</v>
      </c>
      <c r="B304" s="89">
        <v>2346.0</v>
      </c>
      <c r="C304" s="89">
        <v>2.0</v>
      </c>
      <c r="D304" s="87" t="s">
        <v>204</v>
      </c>
      <c r="E304" s="89">
        <v>0.0</v>
      </c>
      <c r="F304" s="89">
        <v>0.011</v>
      </c>
      <c r="G304" s="89">
        <v>0.004</v>
      </c>
      <c r="H304" s="87" t="s">
        <v>229</v>
      </c>
      <c r="I304" s="90">
        <f t="shared" si="1"/>
        <v>1.75</v>
      </c>
      <c r="J304" s="81">
        <f t="shared" si="2"/>
        <v>0.3636363636</v>
      </c>
    </row>
    <row r="305">
      <c r="A305" s="88">
        <v>44663.0</v>
      </c>
      <c r="B305" s="89">
        <v>2370.0</v>
      </c>
      <c r="C305" s="89">
        <v>2.0</v>
      </c>
      <c r="D305" s="87" t="s">
        <v>204</v>
      </c>
      <c r="E305" s="89">
        <v>0.0</v>
      </c>
      <c r="F305" s="89">
        <v>0.033</v>
      </c>
      <c r="G305" s="89">
        <v>0.012</v>
      </c>
      <c r="H305" s="87" t="s">
        <v>229</v>
      </c>
      <c r="I305" s="90">
        <f t="shared" si="1"/>
        <v>1.75</v>
      </c>
      <c r="J305" s="81">
        <f t="shared" si="2"/>
        <v>0.3636363636</v>
      </c>
    </row>
    <row r="306">
      <c r="A306" s="88">
        <v>44663.0</v>
      </c>
      <c r="B306" s="89">
        <v>2346.0</v>
      </c>
      <c r="C306" s="89">
        <v>3.0</v>
      </c>
      <c r="D306" s="87" t="s">
        <v>204</v>
      </c>
      <c r="E306" s="89">
        <v>0.0</v>
      </c>
      <c r="F306" s="89">
        <v>0.069</v>
      </c>
      <c r="G306" s="89">
        <v>0.025</v>
      </c>
      <c r="H306" s="87" t="s">
        <v>229</v>
      </c>
      <c r="I306" s="90">
        <f t="shared" si="1"/>
        <v>1.76</v>
      </c>
      <c r="J306" s="81">
        <f t="shared" si="2"/>
        <v>0.3623188406</v>
      </c>
    </row>
    <row r="307">
      <c r="A307" s="88">
        <v>44663.0</v>
      </c>
      <c r="B307" s="89">
        <v>2372.0</v>
      </c>
      <c r="C307" s="89">
        <v>1.0</v>
      </c>
      <c r="D307" s="87" t="s">
        <v>204</v>
      </c>
      <c r="E307" s="89">
        <v>0.0</v>
      </c>
      <c r="F307" s="89">
        <v>0.138</v>
      </c>
      <c r="G307" s="89">
        <v>0.05</v>
      </c>
      <c r="H307" s="87" t="s">
        <v>229</v>
      </c>
      <c r="I307" s="90">
        <f t="shared" si="1"/>
        <v>1.76</v>
      </c>
      <c r="J307" s="81">
        <f t="shared" si="2"/>
        <v>0.3623188406</v>
      </c>
    </row>
    <row r="308">
      <c r="A308" s="88">
        <v>44663.0</v>
      </c>
      <c r="B308" s="89">
        <v>2348.0</v>
      </c>
      <c r="C308" s="89">
        <v>3.0</v>
      </c>
      <c r="D308" s="87" t="s">
        <v>204</v>
      </c>
      <c r="E308" s="89">
        <v>0.0</v>
      </c>
      <c r="F308" s="89">
        <v>0.036</v>
      </c>
      <c r="G308" s="89">
        <v>0.013</v>
      </c>
      <c r="H308" s="87" t="s">
        <v>229</v>
      </c>
      <c r="I308" s="90">
        <f t="shared" si="1"/>
        <v>1.769230769</v>
      </c>
      <c r="J308" s="81">
        <f t="shared" si="2"/>
        <v>0.3611111111</v>
      </c>
    </row>
    <row r="309">
      <c r="A309" s="88">
        <v>44663.0</v>
      </c>
      <c r="B309" s="89">
        <v>2372.0</v>
      </c>
      <c r="C309" s="89">
        <v>2.0</v>
      </c>
      <c r="D309" s="87" t="s">
        <v>204</v>
      </c>
      <c r="E309" s="89">
        <v>0.0</v>
      </c>
      <c r="F309" s="89">
        <v>0.07</v>
      </c>
      <c r="G309" s="89">
        <v>0.025</v>
      </c>
      <c r="H309" s="87" t="s">
        <v>229</v>
      </c>
      <c r="I309" s="90">
        <f t="shared" si="1"/>
        <v>1.8</v>
      </c>
      <c r="J309" s="81">
        <f t="shared" si="2"/>
        <v>0.3571428571</v>
      </c>
    </row>
    <row r="310">
      <c r="A310" s="88">
        <v>44663.0</v>
      </c>
      <c r="B310" s="89">
        <v>2348.0</v>
      </c>
      <c r="C310" s="89">
        <v>2.0</v>
      </c>
      <c r="D310" s="87" t="s">
        <v>204</v>
      </c>
      <c r="E310" s="89">
        <v>0.0</v>
      </c>
      <c r="F310" s="89">
        <v>0.045</v>
      </c>
      <c r="G310" s="89">
        <v>0.016</v>
      </c>
      <c r="H310" s="87" t="s">
        <v>229</v>
      </c>
      <c r="I310" s="90">
        <f t="shared" si="1"/>
        <v>1.8125</v>
      </c>
      <c r="J310" s="81">
        <f t="shared" si="2"/>
        <v>0.3555555556</v>
      </c>
    </row>
    <row r="311">
      <c r="A311" s="88">
        <v>44663.0</v>
      </c>
      <c r="B311" s="89">
        <v>2009.0</v>
      </c>
      <c r="C311" s="89">
        <v>2.0</v>
      </c>
      <c r="D311" s="87" t="s">
        <v>204</v>
      </c>
      <c r="E311" s="89">
        <v>0.0</v>
      </c>
      <c r="F311" s="89">
        <v>0.065</v>
      </c>
      <c r="G311" s="89">
        <v>0.023</v>
      </c>
      <c r="H311" s="87" t="s">
        <v>229</v>
      </c>
      <c r="I311" s="90">
        <f t="shared" si="1"/>
        <v>1.826086957</v>
      </c>
      <c r="J311" s="81">
        <f t="shared" si="2"/>
        <v>0.3538461538</v>
      </c>
    </row>
    <row r="312">
      <c r="A312" s="88">
        <v>44663.0</v>
      </c>
      <c r="B312" s="89">
        <v>2370.0</v>
      </c>
      <c r="C312" s="89">
        <v>1.0</v>
      </c>
      <c r="D312" s="87" t="s">
        <v>204</v>
      </c>
      <c r="E312" s="89">
        <v>0.0</v>
      </c>
      <c r="F312" s="89">
        <v>0.13</v>
      </c>
      <c r="G312" s="89">
        <v>0.045</v>
      </c>
      <c r="H312" s="87" t="s">
        <v>229</v>
      </c>
      <c r="I312" s="90">
        <f t="shared" si="1"/>
        <v>1.888888889</v>
      </c>
      <c r="J312" s="81">
        <f t="shared" si="2"/>
        <v>0.3461538462</v>
      </c>
    </row>
    <row r="313">
      <c r="A313" s="88">
        <v>44663.0</v>
      </c>
      <c r="B313" s="89">
        <v>2354.0</v>
      </c>
      <c r="C313" s="89">
        <v>3.0</v>
      </c>
      <c r="D313" s="87" t="s">
        <v>204</v>
      </c>
      <c r="E313" s="89">
        <v>0.0</v>
      </c>
      <c r="F313" s="89">
        <v>0.029</v>
      </c>
      <c r="G313" s="89">
        <v>0.01</v>
      </c>
      <c r="H313" s="87" t="s">
        <v>229</v>
      </c>
      <c r="I313" s="90">
        <f t="shared" si="1"/>
        <v>1.9</v>
      </c>
      <c r="J313" s="81">
        <f t="shared" si="2"/>
        <v>0.3448275862</v>
      </c>
    </row>
    <row r="314">
      <c r="A314" s="88">
        <v>44663.0</v>
      </c>
      <c r="B314" s="89">
        <v>2349.0</v>
      </c>
      <c r="C314" s="89">
        <v>1.0</v>
      </c>
      <c r="D314" s="87" t="s">
        <v>204</v>
      </c>
      <c r="E314" s="89">
        <v>0.0</v>
      </c>
      <c r="F314" s="89">
        <v>0.032</v>
      </c>
      <c r="G314" s="89">
        <v>0.011</v>
      </c>
      <c r="H314" s="87" t="s">
        <v>229</v>
      </c>
      <c r="I314" s="90">
        <f t="shared" si="1"/>
        <v>1.909090909</v>
      </c>
      <c r="J314" s="81">
        <f t="shared" si="2"/>
        <v>0.34375</v>
      </c>
    </row>
    <row r="315">
      <c r="A315" s="88">
        <v>44663.0</v>
      </c>
      <c r="B315" s="89">
        <v>2354.0</v>
      </c>
      <c r="C315" s="89">
        <v>2.0</v>
      </c>
      <c r="D315" s="87" t="s">
        <v>204</v>
      </c>
      <c r="E315" s="89">
        <v>0.0</v>
      </c>
      <c r="F315" s="89">
        <v>0.038</v>
      </c>
      <c r="G315" s="89">
        <v>0.013</v>
      </c>
      <c r="H315" s="87" t="s">
        <v>229</v>
      </c>
      <c r="I315" s="90">
        <f t="shared" si="1"/>
        <v>1.923076923</v>
      </c>
      <c r="J315" s="81">
        <f t="shared" si="2"/>
        <v>0.3421052632</v>
      </c>
    </row>
    <row r="316">
      <c r="A316" s="88">
        <v>44663.0</v>
      </c>
      <c r="B316" s="89">
        <v>2351.0</v>
      </c>
      <c r="C316" s="89">
        <v>2.0</v>
      </c>
      <c r="D316" s="87" t="s">
        <v>205</v>
      </c>
      <c r="E316" s="89">
        <v>0.0</v>
      </c>
      <c r="F316" s="89">
        <v>1.036</v>
      </c>
      <c r="G316" s="89">
        <v>0.351</v>
      </c>
      <c r="H316" s="87" t="s">
        <v>229</v>
      </c>
      <c r="I316" s="90">
        <f t="shared" si="1"/>
        <v>1.951566952</v>
      </c>
      <c r="J316" s="81">
        <f t="shared" si="2"/>
        <v>0.3388030888</v>
      </c>
    </row>
    <row r="317">
      <c r="A317" s="88">
        <v>44663.0</v>
      </c>
      <c r="B317" s="89">
        <v>2348.0</v>
      </c>
      <c r="C317" s="89">
        <v>1.0</v>
      </c>
      <c r="D317" s="87" t="s">
        <v>204</v>
      </c>
      <c r="E317" s="89">
        <v>0.0</v>
      </c>
      <c r="F317" s="89">
        <v>0.08</v>
      </c>
      <c r="G317" s="89">
        <v>0.027</v>
      </c>
      <c r="H317" s="87" t="s">
        <v>229</v>
      </c>
      <c r="I317" s="90">
        <f t="shared" si="1"/>
        <v>1.962962963</v>
      </c>
      <c r="J317" s="81">
        <f t="shared" si="2"/>
        <v>0.3375</v>
      </c>
    </row>
    <row r="318">
      <c r="A318" s="88">
        <v>44663.0</v>
      </c>
      <c r="B318" s="89">
        <v>2347.0</v>
      </c>
      <c r="C318" s="89">
        <v>3.0</v>
      </c>
      <c r="D318" s="87" t="s">
        <v>204</v>
      </c>
      <c r="E318" s="89">
        <v>0.0</v>
      </c>
      <c r="F318" s="89">
        <v>0.021</v>
      </c>
      <c r="G318" s="89">
        <v>0.007</v>
      </c>
      <c r="H318" s="87" t="s">
        <v>229</v>
      </c>
      <c r="I318" s="90">
        <f t="shared" si="1"/>
        <v>2</v>
      </c>
      <c r="J318" s="81">
        <f t="shared" si="2"/>
        <v>0.3333333333</v>
      </c>
    </row>
    <row r="319">
      <c r="A319" s="88">
        <v>44663.0</v>
      </c>
      <c r="B319" s="89">
        <v>2331.0</v>
      </c>
      <c r="C319" s="89">
        <v>1.0</v>
      </c>
      <c r="D319" s="87" t="s">
        <v>204</v>
      </c>
      <c r="E319" s="89">
        <v>0.0</v>
      </c>
      <c r="F319" s="89">
        <v>0.034</v>
      </c>
      <c r="G319" s="89">
        <v>0.011</v>
      </c>
      <c r="H319" s="87" t="s">
        <v>229</v>
      </c>
      <c r="I319" s="90">
        <f t="shared" si="1"/>
        <v>2.090909091</v>
      </c>
      <c r="J319" s="81">
        <f t="shared" si="2"/>
        <v>0.3235294118</v>
      </c>
    </row>
    <row r="320">
      <c r="A320" s="88">
        <v>44663.0</v>
      </c>
      <c r="B320" s="89">
        <v>2351.0</v>
      </c>
      <c r="C320" s="89">
        <v>2.0</v>
      </c>
      <c r="D320" s="87" t="s">
        <v>204</v>
      </c>
      <c r="E320" s="89">
        <v>0.0</v>
      </c>
      <c r="F320" s="89">
        <v>0.118</v>
      </c>
      <c r="G320" s="89">
        <v>0.038</v>
      </c>
      <c r="H320" s="87" t="s">
        <v>229</v>
      </c>
      <c r="I320" s="90">
        <f t="shared" si="1"/>
        <v>2.105263158</v>
      </c>
      <c r="J320" s="81">
        <f t="shared" si="2"/>
        <v>0.3220338983</v>
      </c>
    </row>
    <row r="321">
      <c r="A321" s="88">
        <v>44663.0</v>
      </c>
      <c r="B321" s="89">
        <v>2354.0</v>
      </c>
      <c r="C321" s="89">
        <v>1.0</v>
      </c>
      <c r="D321" s="87" t="s">
        <v>204</v>
      </c>
      <c r="E321" s="89">
        <v>0.0</v>
      </c>
      <c r="F321" s="89">
        <v>0.038</v>
      </c>
      <c r="G321" s="89">
        <v>0.012</v>
      </c>
      <c r="H321" s="87" t="s">
        <v>229</v>
      </c>
      <c r="I321" s="90">
        <f t="shared" si="1"/>
        <v>2.166666667</v>
      </c>
      <c r="J321" s="81">
        <f t="shared" si="2"/>
        <v>0.3157894737</v>
      </c>
    </row>
    <row r="322">
      <c r="A322" s="88">
        <v>44663.0</v>
      </c>
      <c r="B322" s="89">
        <v>2351.0</v>
      </c>
      <c r="C322" s="89">
        <v>3.0</v>
      </c>
      <c r="D322" s="87" t="s">
        <v>204</v>
      </c>
      <c r="E322" s="89">
        <v>0.0</v>
      </c>
      <c r="F322" s="89">
        <v>0.07</v>
      </c>
      <c r="G322" s="89">
        <v>0.022</v>
      </c>
      <c r="H322" s="87" t="s">
        <v>229</v>
      </c>
      <c r="I322" s="90">
        <f t="shared" si="1"/>
        <v>2.181818182</v>
      </c>
      <c r="J322" s="81">
        <f t="shared" si="2"/>
        <v>0.3142857143</v>
      </c>
    </row>
    <row r="323">
      <c r="A323" s="88">
        <v>44663.0</v>
      </c>
      <c r="B323" s="89">
        <v>2351.0</v>
      </c>
      <c r="C323" s="89">
        <v>3.0</v>
      </c>
      <c r="D323" s="87" t="s">
        <v>205</v>
      </c>
      <c r="E323" s="89">
        <v>0.0</v>
      </c>
      <c r="F323" s="89">
        <v>0.869</v>
      </c>
      <c r="G323" s="89">
        <v>0.26</v>
      </c>
      <c r="H323" s="87" t="s">
        <v>229</v>
      </c>
      <c r="I323" s="90">
        <f t="shared" si="1"/>
        <v>2.342307692</v>
      </c>
      <c r="J323" s="81">
        <f t="shared" si="2"/>
        <v>0.2991944764</v>
      </c>
    </row>
    <row r="324">
      <c r="A324" s="88">
        <v>44663.0</v>
      </c>
      <c r="B324" s="89">
        <v>2351.0</v>
      </c>
      <c r="C324" s="89">
        <v>1.0</v>
      </c>
      <c r="D324" s="87" t="s">
        <v>204</v>
      </c>
      <c r="E324" s="89">
        <v>0.0</v>
      </c>
      <c r="F324" s="89">
        <v>0.115</v>
      </c>
      <c r="G324" s="89">
        <v>0.034</v>
      </c>
      <c r="H324" s="87" t="s">
        <v>229</v>
      </c>
      <c r="I324" s="90">
        <f t="shared" si="1"/>
        <v>2.382352941</v>
      </c>
      <c r="J324" s="81">
        <f t="shared" si="2"/>
        <v>0.2956521739</v>
      </c>
    </row>
    <row r="325">
      <c r="A325" s="88">
        <v>44663.0</v>
      </c>
      <c r="B325" s="89">
        <v>2351.0</v>
      </c>
      <c r="C325" s="89">
        <v>1.0</v>
      </c>
      <c r="D325" s="87" t="s">
        <v>205</v>
      </c>
      <c r="E325" s="89">
        <v>0.0</v>
      </c>
      <c r="F325" s="89">
        <v>0.827</v>
      </c>
      <c r="G325" s="89">
        <v>0.235</v>
      </c>
      <c r="H325" s="87" t="s">
        <v>229</v>
      </c>
      <c r="I325" s="90">
        <f t="shared" si="1"/>
        <v>2.519148936</v>
      </c>
      <c r="J325" s="81">
        <f t="shared" si="2"/>
        <v>0.2841596131</v>
      </c>
    </row>
    <row r="326">
      <c r="A326" s="88">
        <v>44665.0</v>
      </c>
      <c r="B326" s="89">
        <v>2380.0</v>
      </c>
      <c r="C326" s="89">
        <v>1.0</v>
      </c>
      <c r="D326" s="87" t="s">
        <v>204</v>
      </c>
      <c r="E326" s="89">
        <v>1.0</v>
      </c>
      <c r="F326" s="89">
        <v>0.1899</v>
      </c>
      <c r="G326" s="89">
        <v>0.992</v>
      </c>
      <c r="H326" s="87" t="s">
        <v>226</v>
      </c>
      <c r="I326" s="90">
        <f t="shared" si="1"/>
        <v>-0.8085685484</v>
      </c>
      <c r="J326" s="81">
        <f t="shared" si="2"/>
        <v>5.223802001</v>
      </c>
    </row>
    <row r="327">
      <c r="A327" s="88">
        <v>44665.0</v>
      </c>
      <c r="B327" s="89">
        <v>2380.0</v>
      </c>
      <c r="C327" s="89">
        <v>1.0</v>
      </c>
      <c r="D327" s="87" t="s">
        <v>205</v>
      </c>
      <c r="E327" s="89">
        <v>1.0</v>
      </c>
      <c r="F327" s="89">
        <v>1.1483</v>
      </c>
      <c r="G327" s="89">
        <v>0.7144</v>
      </c>
      <c r="H327" s="87" t="s">
        <v>226</v>
      </c>
      <c r="I327" s="90">
        <f t="shared" si="1"/>
        <v>0.6073628219</v>
      </c>
      <c r="J327" s="81">
        <f t="shared" si="2"/>
        <v>0.6221370722</v>
      </c>
    </row>
    <row r="328">
      <c r="A328" s="88">
        <v>44665.0</v>
      </c>
      <c r="B328" s="89">
        <v>2301.0</v>
      </c>
      <c r="C328" s="89">
        <v>1.0</v>
      </c>
      <c r="D328" s="87" t="s">
        <v>204</v>
      </c>
      <c r="E328" s="89">
        <v>1.0</v>
      </c>
      <c r="F328" s="89">
        <v>1.685</v>
      </c>
      <c r="G328" s="89">
        <v>1.0218</v>
      </c>
      <c r="H328" s="87" t="s">
        <v>226</v>
      </c>
      <c r="I328" s="90">
        <f t="shared" si="1"/>
        <v>0.6490506949</v>
      </c>
      <c r="J328" s="81">
        <f t="shared" si="2"/>
        <v>0.6064094955</v>
      </c>
    </row>
    <row r="329">
      <c r="A329" s="88">
        <v>44665.0</v>
      </c>
      <c r="B329" s="89">
        <v>2380.0</v>
      </c>
      <c r="C329" s="89">
        <v>2.0</v>
      </c>
      <c r="D329" s="87" t="s">
        <v>205</v>
      </c>
      <c r="E329" s="89">
        <v>1.0</v>
      </c>
      <c r="F329" s="89">
        <v>0.9541</v>
      </c>
      <c r="G329" s="89">
        <v>0.5747</v>
      </c>
      <c r="H329" s="87" t="s">
        <v>226</v>
      </c>
      <c r="I329" s="90">
        <f t="shared" si="1"/>
        <v>0.6601705238</v>
      </c>
      <c r="J329" s="81">
        <f t="shared" si="2"/>
        <v>0.6023477623</v>
      </c>
    </row>
    <row r="330">
      <c r="A330" s="88">
        <v>44665.0</v>
      </c>
      <c r="B330" s="89">
        <v>2377.0</v>
      </c>
      <c r="C330" s="89">
        <v>3.0</v>
      </c>
      <c r="D330" s="87" t="s">
        <v>205</v>
      </c>
      <c r="E330" s="89">
        <v>1.0</v>
      </c>
      <c r="F330" s="89">
        <v>0.7124</v>
      </c>
      <c r="G330" s="89">
        <v>0.4268</v>
      </c>
      <c r="H330" s="87" t="s">
        <v>226</v>
      </c>
      <c r="I330" s="90">
        <f t="shared" si="1"/>
        <v>0.6691658857</v>
      </c>
      <c r="J330" s="81">
        <f t="shared" si="2"/>
        <v>0.5991016283</v>
      </c>
    </row>
    <row r="331">
      <c r="A331" s="88">
        <v>44665.0</v>
      </c>
      <c r="B331" s="89">
        <v>2377.0</v>
      </c>
      <c r="C331" s="89">
        <v>2.0</v>
      </c>
      <c r="D331" s="87" t="s">
        <v>205</v>
      </c>
      <c r="E331" s="89">
        <v>1.0</v>
      </c>
      <c r="F331" s="89">
        <v>1.263</v>
      </c>
      <c r="G331" s="89">
        <v>0.7456</v>
      </c>
      <c r="H331" s="87" t="s">
        <v>226</v>
      </c>
      <c r="I331" s="90">
        <f t="shared" si="1"/>
        <v>0.6939377682</v>
      </c>
      <c r="J331" s="81">
        <f t="shared" si="2"/>
        <v>0.5903404592</v>
      </c>
    </row>
    <row r="332">
      <c r="A332" s="88">
        <v>44665.0</v>
      </c>
      <c r="B332" s="89">
        <v>2345.0</v>
      </c>
      <c r="C332" s="89">
        <v>2.0</v>
      </c>
      <c r="D332" s="87" t="s">
        <v>205</v>
      </c>
      <c r="E332" s="89">
        <v>1.0</v>
      </c>
      <c r="F332" s="89">
        <v>1.4443</v>
      </c>
      <c r="G332" s="89">
        <v>0.8472</v>
      </c>
      <c r="H332" s="87" t="s">
        <v>226</v>
      </c>
      <c r="I332" s="90">
        <f t="shared" si="1"/>
        <v>0.7047922568</v>
      </c>
      <c r="J332" s="81">
        <f t="shared" si="2"/>
        <v>0.5865817351</v>
      </c>
    </row>
    <row r="333">
      <c r="A333" s="88">
        <v>44665.0</v>
      </c>
      <c r="B333" s="89">
        <v>2345.0</v>
      </c>
      <c r="C333" s="89">
        <v>1.0</v>
      </c>
      <c r="D333" s="87" t="s">
        <v>205</v>
      </c>
      <c r="E333" s="89">
        <v>0.0</v>
      </c>
      <c r="F333" s="89">
        <v>1.0044</v>
      </c>
      <c r="G333" s="89">
        <v>0.5822</v>
      </c>
      <c r="H333" s="87" t="s">
        <v>226</v>
      </c>
      <c r="I333" s="90">
        <f t="shared" si="1"/>
        <v>0.7251803504</v>
      </c>
      <c r="J333" s="81">
        <f t="shared" si="2"/>
        <v>0.579649542</v>
      </c>
    </row>
    <row r="334">
      <c r="A334" s="88">
        <v>44665.0</v>
      </c>
      <c r="B334" s="89">
        <v>2377.0</v>
      </c>
      <c r="C334" s="89">
        <v>1.0</v>
      </c>
      <c r="D334" s="87" t="s">
        <v>205</v>
      </c>
      <c r="E334" s="89">
        <v>1.0</v>
      </c>
      <c r="F334" s="89">
        <v>1.4716</v>
      </c>
      <c r="G334" s="89">
        <v>0.8352</v>
      </c>
      <c r="H334" s="87" t="s">
        <v>226</v>
      </c>
      <c r="I334" s="90">
        <f t="shared" si="1"/>
        <v>0.7619731801</v>
      </c>
      <c r="J334" s="81">
        <f t="shared" si="2"/>
        <v>0.5675455287</v>
      </c>
    </row>
    <row r="335">
      <c r="A335" s="88">
        <v>44665.0</v>
      </c>
      <c r="B335" s="89">
        <v>2345.0</v>
      </c>
      <c r="C335" s="89">
        <v>2.0</v>
      </c>
      <c r="D335" s="87" t="s">
        <v>204</v>
      </c>
      <c r="E335" s="89">
        <v>1.0</v>
      </c>
      <c r="F335" s="89">
        <v>0.131</v>
      </c>
      <c r="G335" s="89">
        <v>0.0739</v>
      </c>
      <c r="H335" s="87" t="s">
        <v>226</v>
      </c>
      <c r="I335" s="90">
        <f t="shared" si="1"/>
        <v>0.7726657645</v>
      </c>
      <c r="J335" s="81">
        <f t="shared" si="2"/>
        <v>0.5641221374</v>
      </c>
    </row>
    <row r="336">
      <c r="A336" s="88">
        <v>44665.0</v>
      </c>
      <c r="B336" s="89">
        <v>2010.0</v>
      </c>
      <c r="C336" s="89">
        <v>1.0</v>
      </c>
      <c r="D336" s="87" t="s">
        <v>205</v>
      </c>
      <c r="E336" s="89">
        <v>0.0</v>
      </c>
      <c r="F336" s="89">
        <v>1.4059</v>
      </c>
      <c r="G336" s="89">
        <v>0.78</v>
      </c>
      <c r="H336" s="87" t="s">
        <v>226</v>
      </c>
      <c r="I336" s="90">
        <f t="shared" si="1"/>
        <v>0.8024358974</v>
      </c>
      <c r="J336" s="81">
        <f t="shared" si="2"/>
        <v>0.5548047514</v>
      </c>
    </row>
    <row r="337">
      <c r="A337" s="88">
        <v>44665.0</v>
      </c>
      <c r="B337" s="89">
        <v>2345.0</v>
      </c>
      <c r="C337" s="89">
        <v>1.0</v>
      </c>
      <c r="D337" s="87" t="s">
        <v>204</v>
      </c>
      <c r="E337" s="89">
        <v>1.0</v>
      </c>
      <c r="F337" s="89">
        <v>0.2122</v>
      </c>
      <c r="G337" s="89">
        <v>0.1174</v>
      </c>
      <c r="H337" s="87" t="s">
        <v>226</v>
      </c>
      <c r="I337" s="90">
        <f t="shared" si="1"/>
        <v>0.8074957411</v>
      </c>
      <c r="J337" s="81">
        <f t="shared" si="2"/>
        <v>0.5532516494</v>
      </c>
    </row>
    <row r="338">
      <c r="A338" s="88">
        <v>44665.0</v>
      </c>
      <c r="B338" s="89">
        <v>2012.0</v>
      </c>
      <c r="C338" s="89">
        <v>1.0</v>
      </c>
      <c r="D338" s="87" t="s">
        <v>204</v>
      </c>
      <c r="E338" s="89">
        <v>1.0</v>
      </c>
      <c r="F338" s="89">
        <v>0.4603</v>
      </c>
      <c r="G338" s="89">
        <v>0.2527</v>
      </c>
      <c r="H338" s="87" t="s">
        <v>226</v>
      </c>
      <c r="I338" s="90">
        <f t="shared" si="1"/>
        <v>0.821527503</v>
      </c>
      <c r="J338" s="81">
        <f t="shared" si="2"/>
        <v>0.5489897893</v>
      </c>
    </row>
    <row r="339">
      <c r="A339" s="88">
        <v>44665.0</v>
      </c>
      <c r="B339" s="89">
        <v>2380.0</v>
      </c>
      <c r="C339" s="89">
        <v>2.0</v>
      </c>
      <c r="D339" s="87" t="s">
        <v>204</v>
      </c>
      <c r="E339" s="89">
        <v>1.0</v>
      </c>
      <c r="F339" s="89">
        <v>0.1664</v>
      </c>
      <c r="G339" s="89">
        <v>0.0908</v>
      </c>
      <c r="H339" s="87" t="s">
        <v>226</v>
      </c>
      <c r="I339" s="90">
        <f t="shared" si="1"/>
        <v>0.8325991189</v>
      </c>
      <c r="J339" s="81">
        <f t="shared" si="2"/>
        <v>0.5456730769</v>
      </c>
    </row>
    <row r="340">
      <c r="A340" s="88">
        <v>44665.0</v>
      </c>
      <c r="B340" s="89">
        <v>2384.0</v>
      </c>
      <c r="C340" s="89">
        <v>3.0</v>
      </c>
      <c r="D340" s="87" t="s">
        <v>204</v>
      </c>
      <c r="E340" s="89">
        <v>1.0</v>
      </c>
      <c r="F340" s="89">
        <v>0.1061</v>
      </c>
      <c r="G340" s="89">
        <v>0.0577</v>
      </c>
      <c r="H340" s="87" t="s">
        <v>226</v>
      </c>
      <c r="I340" s="90">
        <f t="shared" si="1"/>
        <v>0.8388214905</v>
      </c>
      <c r="J340" s="81">
        <f t="shared" si="2"/>
        <v>0.5438265787</v>
      </c>
    </row>
    <row r="341">
      <c r="A341" s="88">
        <v>44665.0</v>
      </c>
      <c r="B341" s="89">
        <v>2384.0</v>
      </c>
      <c r="C341" s="89">
        <v>1.0</v>
      </c>
      <c r="D341" s="87" t="s">
        <v>204</v>
      </c>
      <c r="E341" s="89">
        <v>1.0</v>
      </c>
      <c r="F341" s="89">
        <v>0.4188</v>
      </c>
      <c r="G341" s="89">
        <v>0.2257</v>
      </c>
      <c r="H341" s="87" t="s">
        <v>226</v>
      </c>
      <c r="I341" s="90">
        <f t="shared" si="1"/>
        <v>0.8555604785</v>
      </c>
      <c r="J341" s="81">
        <f t="shared" si="2"/>
        <v>0.5389207259</v>
      </c>
    </row>
    <row r="342">
      <c r="A342" s="88">
        <v>44665.0</v>
      </c>
      <c r="B342" s="89">
        <v>2031.0</v>
      </c>
      <c r="C342" s="89">
        <v>1.0</v>
      </c>
      <c r="D342" s="87" t="s">
        <v>204</v>
      </c>
      <c r="E342" s="89">
        <v>1.0</v>
      </c>
      <c r="F342" s="89">
        <v>0.1685</v>
      </c>
      <c r="G342" s="89">
        <v>0.0901</v>
      </c>
      <c r="H342" s="87" t="s">
        <v>226</v>
      </c>
      <c r="I342" s="90">
        <f t="shared" si="1"/>
        <v>0.8701442841</v>
      </c>
      <c r="J342" s="81">
        <f t="shared" si="2"/>
        <v>0.5347181009</v>
      </c>
    </row>
    <row r="343">
      <c r="A343" s="88">
        <v>44665.0</v>
      </c>
      <c r="B343" s="89">
        <v>2360.0</v>
      </c>
      <c r="C343" s="89">
        <v>1.0</v>
      </c>
      <c r="D343" s="87" t="s">
        <v>204</v>
      </c>
      <c r="E343" s="89">
        <v>1.0</v>
      </c>
      <c r="F343" s="89">
        <v>0.0467</v>
      </c>
      <c r="G343" s="89">
        <v>0.0246</v>
      </c>
      <c r="H343" s="87" t="s">
        <v>226</v>
      </c>
      <c r="I343" s="90">
        <f t="shared" si="1"/>
        <v>0.8983739837</v>
      </c>
      <c r="J343" s="81">
        <f t="shared" si="2"/>
        <v>0.5267665953</v>
      </c>
    </row>
    <row r="344">
      <c r="A344" s="88">
        <v>44665.0</v>
      </c>
      <c r="B344" s="89">
        <v>2351.0</v>
      </c>
      <c r="C344" s="89">
        <v>1.0</v>
      </c>
      <c r="D344" s="87" t="s">
        <v>204</v>
      </c>
      <c r="E344" s="89">
        <v>1.0</v>
      </c>
      <c r="F344" s="89">
        <v>0.3063</v>
      </c>
      <c r="G344" s="89">
        <v>0.1608</v>
      </c>
      <c r="H344" s="87" t="s">
        <v>226</v>
      </c>
      <c r="I344" s="90">
        <f t="shared" si="1"/>
        <v>0.9048507463</v>
      </c>
      <c r="J344" s="81">
        <f t="shared" si="2"/>
        <v>0.5249755142</v>
      </c>
    </row>
    <row r="345">
      <c r="A345" s="88">
        <v>44665.0</v>
      </c>
      <c r="B345" s="89">
        <v>2377.0</v>
      </c>
      <c r="C345" s="89">
        <v>3.0</v>
      </c>
      <c r="D345" s="87" t="s">
        <v>204</v>
      </c>
      <c r="E345" s="89">
        <v>1.0</v>
      </c>
      <c r="F345" s="89">
        <v>0.4117</v>
      </c>
      <c r="G345" s="89">
        <v>0.216</v>
      </c>
      <c r="H345" s="87" t="s">
        <v>226</v>
      </c>
      <c r="I345" s="90">
        <f t="shared" si="1"/>
        <v>0.9060185185</v>
      </c>
      <c r="J345" s="81">
        <f t="shared" si="2"/>
        <v>0.5246538742</v>
      </c>
    </row>
    <row r="346">
      <c r="A346" s="88">
        <v>44665.0</v>
      </c>
      <c r="B346" s="89">
        <v>2377.0</v>
      </c>
      <c r="C346" s="89">
        <v>2.0</v>
      </c>
      <c r="D346" s="87" t="s">
        <v>204</v>
      </c>
      <c r="E346" s="89">
        <v>1.0</v>
      </c>
      <c r="F346" s="89">
        <v>0.6215</v>
      </c>
      <c r="G346" s="89">
        <v>0.3256</v>
      </c>
      <c r="H346" s="87" t="s">
        <v>226</v>
      </c>
      <c r="I346" s="90">
        <f t="shared" si="1"/>
        <v>0.9087837838</v>
      </c>
      <c r="J346" s="81">
        <f t="shared" si="2"/>
        <v>0.5238938053</v>
      </c>
    </row>
    <row r="347">
      <c r="A347" s="88">
        <v>44665.0</v>
      </c>
      <c r="B347" s="89">
        <v>2367.0</v>
      </c>
      <c r="C347" s="89">
        <v>2.0</v>
      </c>
      <c r="D347" s="87" t="s">
        <v>204</v>
      </c>
      <c r="E347" s="89">
        <v>1.0</v>
      </c>
      <c r="F347" s="89">
        <v>0.2645</v>
      </c>
      <c r="G347" s="89">
        <v>0.1385</v>
      </c>
      <c r="H347" s="87" t="s">
        <v>226</v>
      </c>
      <c r="I347" s="90">
        <f t="shared" si="1"/>
        <v>0.9097472924</v>
      </c>
      <c r="J347" s="81">
        <f t="shared" si="2"/>
        <v>0.5236294896</v>
      </c>
    </row>
    <row r="348">
      <c r="A348" s="88">
        <v>44665.0</v>
      </c>
      <c r="B348" s="89">
        <v>2375.0</v>
      </c>
      <c r="C348" s="89">
        <v>1.0</v>
      </c>
      <c r="D348" s="87" t="s">
        <v>205</v>
      </c>
      <c r="E348" s="89">
        <v>0.0</v>
      </c>
      <c r="F348" s="89">
        <v>1.2727</v>
      </c>
      <c r="G348" s="89">
        <v>0.6634</v>
      </c>
      <c r="H348" s="87" t="s">
        <v>226</v>
      </c>
      <c r="I348" s="90">
        <f t="shared" si="1"/>
        <v>0.918450407</v>
      </c>
      <c r="J348" s="81">
        <f t="shared" si="2"/>
        <v>0.5212540269</v>
      </c>
    </row>
    <row r="349">
      <c r="A349" s="88">
        <v>44665.0</v>
      </c>
      <c r="B349" s="89">
        <v>2379.0</v>
      </c>
      <c r="C349" s="89">
        <v>3.0</v>
      </c>
      <c r="D349" s="87" t="s">
        <v>204</v>
      </c>
      <c r="E349" s="89">
        <v>1.0</v>
      </c>
      <c r="F349" s="89">
        <v>0.2156</v>
      </c>
      <c r="G349" s="89">
        <v>0.1123</v>
      </c>
      <c r="H349" s="87" t="s">
        <v>226</v>
      </c>
      <c r="I349" s="90">
        <f t="shared" si="1"/>
        <v>0.9198575245</v>
      </c>
      <c r="J349" s="81">
        <f t="shared" si="2"/>
        <v>0.5208719852</v>
      </c>
    </row>
    <row r="350">
      <c r="A350" s="88">
        <v>44665.0</v>
      </c>
      <c r="B350" s="89">
        <v>2377.0</v>
      </c>
      <c r="C350" s="89">
        <v>1.0</v>
      </c>
      <c r="D350" s="87" t="s">
        <v>204</v>
      </c>
      <c r="E350" s="89">
        <v>1.0</v>
      </c>
      <c r="F350" s="89">
        <v>0.7245</v>
      </c>
      <c r="G350" s="89">
        <v>0.3745</v>
      </c>
      <c r="H350" s="87" t="s">
        <v>226</v>
      </c>
      <c r="I350" s="90">
        <f t="shared" si="1"/>
        <v>0.9345794393</v>
      </c>
      <c r="J350" s="81">
        <f t="shared" si="2"/>
        <v>0.5169082126</v>
      </c>
    </row>
    <row r="351">
      <c r="A351" s="88">
        <v>44665.0</v>
      </c>
      <c r="B351" s="89">
        <v>2379.0</v>
      </c>
      <c r="C351" s="89">
        <v>2.0</v>
      </c>
      <c r="D351" s="87" t="s">
        <v>204</v>
      </c>
      <c r="E351" s="89">
        <v>1.0</v>
      </c>
      <c r="F351" s="89">
        <v>1.2313</v>
      </c>
      <c r="G351" s="89">
        <v>0.6363</v>
      </c>
      <c r="H351" s="87" t="s">
        <v>226</v>
      </c>
      <c r="I351" s="90">
        <f t="shared" si="1"/>
        <v>0.9350935094</v>
      </c>
      <c r="J351" s="81">
        <f t="shared" si="2"/>
        <v>0.5167708926</v>
      </c>
    </row>
    <row r="352">
      <c r="A352" s="88">
        <v>44665.0</v>
      </c>
      <c r="B352" s="89">
        <v>2383.0</v>
      </c>
      <c r="C352" s="89">
        <v>2.0</v>
      </c>
      <c r="D352" s="87" t="s">
        <v>204</v>
      </c>
      <c r="E352" s="89">
        <v>0.0</v>
      </c>
      <c r="F352" s="89">
        <v>0.1652</v>
      </c>
      <c r="G352" s="89">
        <v>0.0851</v>
      </c>
      <c r="H352" s="87" t="s">
        <v>226</v>
      </c>
      <c r="I352" s="90">
        <f t="shared" si="1"/>
        <v>0.9412455934</v>
      </c>
      <c r="J352" s="81">
        <f t="shared" si="2"/>
        <v>0.5151331719</v>
      </c>
    </row>
    <row r="353">
      <c r="A353" s="88">
        <v>44665.0</v>
      </c>
      <c r="B353" s="89">
        <v>2301.0</v>
      </c>
      <c r="C353" s="89">
        <v>1.0</v>
      </c>
      <c r="D353" s="87" t="s">
        <v>205</v>
      </c>
      <c r="E353" s="89">
        <v>0.0</v>
      </c>
      <c r="F353" s="89">
        <v>0.2066</v>
      </c>
      <c r="G353" s="89">
        <v>0.1054</v>
      </c>
      <c r="H353" s="87" t="s">
        <v>226</v>
      </c>
      <c r="I353" s="90">
        <f t="shared" si="1"/>
        <v>0.9601518027</v>
      </c>
      <c r="J353" s="81">
        <f t="shared" si="2"/>
        <v>0.5101645692</v>
      </c>
    </row>
    <row r="354">
      <c r="A354" s="88">
        <v>44665.0</v>
      </c>
      <c r="B354" s="89">
        <v>2383.0</v>
      </c>
      <c r="C354" s="89">
        <v>1.0</v>
      </c>
      <c r="D354" s="87" t="s">
        <v>204</v>
      </c>
      <c r="E354" s="89">
        <v>1.0</v>
      </c>
      <c r="F354" s="89">
        <v>0.291</v>
      </c>
      <c r="G354" s="89">
        <v>0.1483</v>
      </c>
      <c r="H354" s="87" t="s">
        <v>226</v>
      </c>
      <c r="I354" s="90">
        <f t="shared" si="1"/>
        <v>0.9622387053</v>
      </c>
      <c r="J354" s="81">
        <f t="shared" si="2"/>
        <v>0.5096219931</v>
      </c>
    </row>
    <row r="355">
      <c r="A355" s="88">
        <v>44665.0</v>
      </c>
      <c r="B355" s="89">
        <v>2379.0</v>
      </c>
      <c r="C355" s="89">
        <v>1.0</v>
      </c>
      <c r="D355" s="87" t="s">
        <v>204</v>
      </c>
      <c r="E355" s="89">
        <v>1.0</v>
      </c>
      <c r="F355" s="89">
        <v>0.5038</v>
      </c>
      <c r="G355" s="89">
        <v>0.2566</v>
      </c>
      <c r="H355" s="87" t="s">
        <v>226</v>
      </c>
      <c r="I355" s="90">
        <f t="shared" si="1"/>
        <v>0.9633671083</v>
      </c>
      <c r="J355" s="81">
        <f t="shared" si="2"/>
        <v>0.5093290988</v>
      </c>
    </row>
    <row r="356">
      <c r="A356" s="88">
        <v>44665.0</v>
      </c>
      <c r="B356" s="89">
        <v>2004.0</v>
      </c>
      <c r="C356" s="89">
        <v>1.0</v>
      </c>
      <c r="D356" s="87" t="s">
        <v>205</v>
      </c>
      <c r="E356" s="89">
        <v>0.0</v>
      </c>
      <c r="F356" s="89">
        <v>1.1885</v>
      </c>
      <c r="G356" s="89">
        <v>0.605</v>
      </c>
      <c r="H356" s="87" t="s">
        <v>226</v>
      </c>
      <c r="I356" s="90">
        <f t="shared" si="1"/>
        <v>0.9644628099</v>
      </c>
      <c r="J356" s="81">
        <f t="shared" si="2"/>
        <v>0.5090450147</v>
      </c>
    </row>
    <row r="357">
      <c r="A357" s="88">
        <v>44665.0</v>
      </c>
      <c r="B357" s="89">
        <v>2028.0</v>
      </c>
      <c r="C357" s="89">
        <v>1.0</v>
      </c>
      <c r="D357" s="87" t="s">
        <v>205</v>
      </c>
      <c r="E357" s="89">
        <v>0.0</v>
      </c>
      <c r="F357" s="89">
        <v>0.7275</v>
      </c>
      <c r="G357" s="89">
        <v>0.3699</v>
      </c>
      <c r="H357" s="87" t="s">
        <v>226</v>
      </c>
      <c r="I357" s="90">
        <f t="shared" si="1"/>
        <v>0.9667477697</v>
      </c>
      <c r="J357" s="81">
        <f t="shared" si="2"/>
        <v>0.5084536082</v>
      </c>
    </row>
    <row r="358">
      <c r="A358" s="88">
        <v>44665.0</v>
      </c>
      <c r="B358" s="89">
        <v>2007.0</v>
      </c>
      <c r="C358" s="89">
        <v>2.0</v>
      </c>
      <c r="D358" s="87" t="s">
        <v>205</v>
      </c>
      <c r="E358" s="89">
        <v>0.0</v>
      </c>
      <c r="F358" s="89">
        <v>1.9765</v>
      </c>
      <c r="G358" s="89">
        <v>1.0035</v>
      </c>
      <c r="H358" s="87" t="s">
        <v>226</v>
      </c>
      <c r="I358" s="90">
        <f t="shared" si="1"/>
        <v>0.9696063777</v>
      </c>
      <c r="J358" s="81">
        <f t="shared" si="2"/>
        <v>0.507715659</v>
      </c>
    </row>
    <row r="359">
      <c r="A359" s="88">
        <v>44665.0</v>
      </c>
      <c r="B359" s="89">
        <v>2383.0</v>
      </c>
      <c r="C359" s="89">
        <v>2.0</v>
      </c>
      <c r="D359" s="87" t="s">
        <v>205</v>
      </c>
      <c r="E359" s="89">
        <v>0.0</v>
      </c>
      <c r="F359" s="89">
        <v>0.6657</v>
      </c>
      <c r="G359" s="89">
        <v>0.3377</v>
      </c>
      <c r="H359" s="87" t="s">
        <v>226</v>
      </c>
      <c r="I359" s="90">
        <f t="shared" si="1"/>
        <v>0.9712762807</v>
      </c>
      <c r="J359" s="81">
        <f t="shared" si="2"/>
        <v>0.5072855641</v>
      </c>
    </row>
    <row r="360">
      <c r="A360" s="88">
        <v>44665.0</v>
      </c>
      <c r="B360" s="89">
        <v>2381.0</v>
      </c>
      <c r="C360" s="89">
        <v>3.0</v>
      </c>
      <c r="D360" s="87" t="s">
        <v>205</v>
      </c>
      <c r="E360" s="89">
        <v>1.0</v>
      </c>
      <c r="F360" s="89">
        <v>2.3696</v>
      </c>
      <c r="G360" s="89">
        <v>1.1948</v>
      </c>
      <c r="H360" s="87" t="s">
        <v>226</v>
      </c>
      <c r="I360" s="90">
        <f t="shared" si="1"/>
        <v>0.9832607968</v>
      </c>
      <c r="J360" s="81">
        <f t="shared" si="2"/>
        <v>0.5042201215</v>
      </c>
    </row>
    <row r="361">
      <c r="A361" s="88">
        <v>44665.0</v>
      </c>
      <c r="B361" s="89">
        <v>2031.0</v>
      </c>
      <c r="C361" s="89">
        <v>1.0</v>
      </c>
      <c r="D361" s="87" t="s">
        <v>205</v>
      </c>
      <c r="E361" s="89">
        <v>0.0</v>
      </c>
      <c r="F361" s="89">
        <v>2.6184</v>
      </c>
      <c r="G361" s="89">
        <v>1.3187</v>
      </c>
      <c r="H361" s="87" t="s">
        <v>226</v>
      </c>
      <c r="I361" s="90">
        <f t="shared" si="1"/>
        <v>0.9855918708</v>
      </c>
      <c r="J361" s="81">
        <f t="shared" si="2"/>
        <v>0.5036281699</v>
      </c>
    </row>
    <row r="362">
      <c r="A362" s="88">
        <v>44665.0</v>
      </c>
      <c r="B362" s="89">
        <v>2384.0</v>
      </c>
      <c r="C362" s="89">
        <v>2.0</v>
      </c>
      <c r="D362" s="87" t="s">
        <v>204</v>
      </c>
      <c r="E362" s="89">
        <v>1.0</v>
      </c>
      <c r="F362" s="89">
        <v>0.4017</v>
      </c>
      <c r="G362" s="89">
        <v>0.2021</v>
      </c>
      <c r="H362" s="87" t="s">
        <v>226</v>
      </c>
      <c r="I362" s="90">
        <f t="shared" si="1"/>
        <v>0.9876298862</v>
      </c>
      <c r="J362" s="81">
        <f t="shared" si="2"/>
        <v>0.503111775</v>
      </c>
    </row>
    <row r="363">
      <c r="A363" s="88">
        <v>44665.0</v>
      </c>
      <c r="B363" s="89">
        <v>2383.0</v>
      </c>
      <c r="C363" s="89">
        <v>3.0</v>
      </c>
      <c r="D363" s="87" t="s">
        <v>204</v>
      </c>
      <c r="E363" s="89">
        <v>1.0</v>
      </c>
      <c r="F363" s="89">
        <v>0.3076</v>
      </c>
      <c r="G363" s="89">
        <v>0.1544</v>
      </c>
      <c r="H363" s="87" t="s">
        <v>226</v>
      </c>
      <c r="I363" s="90">
        <f t="shared" si="1"/>
        <v>0.9922279793</v>
      </c>
      <c r="J363" s="81">
        <f t="shared" si="2"/>
        <v>0.5019505852</v>
      </c>
    </row>
    <row r="364">
      <c r="A364" s="88">
        <v>44665.0</v>
      </c>
      <c r="B364" s="89">
        <v>2375.0</v>
      </c>
      <c r="C364" s="89">
        <v>1.0</v>
      </c>
      <c r="D364" s="87" t="s">
        <v>204</v>
      </c>
      <c r="E364" s="89">
        <v>1.0</v>
      </c>
      <c r="F364" s="89">
        <v>0.0677</v>
      </c>
      <c r="G364" s="89">
        <v>0.0339</v>
      </c>
      <c r="H364" s="87" t="s">
        <v>226</v>
      </c>
      <c r="I364" s="90">
        <f t="shared" si="1"/>
        <v>0.9970501475</v>
      </c>
      <c r="J364" s="81">
        <f t="shared" si="2"/>
        <v>0.5007385524</v>
      </c>
    </row>
    <row r="365">
      <c r="A365" s="88">
        <v>44665.0</v>
      </c>
      <c r="B365" s="89">
        <v>2004.0</v>
      </c>
      <c r="C365" s="89">
        <v>1.0</v>
      </c>
      <c r="D365" s="87" t="s">
        <v>205</v>
      </c>
      <c r="E365" s="89">
        <v>0.0</v>
      </c>
      <c r="F365" s="89">
        <v>0.675</v>
      </c>
      <c r="G365" s="89">
        <v>0.3369</v>
      </c>
      <c r="H365" s="87" t="s">
        <v>226</v>
      </c>
      <c r="I365" s="90">
        <f t="shared" si="1"/>
        <v>1.003561888</v>
      </c>
      <c r="J365" s="81">
        <f t="shared" si="2"/>
        <v>0.4991111111</v>
      </c>
    </row>
    <row r="366">
      <c r="A366" s="88">
        <v>44665.0</v>
      </c>
      <c r="B366" s="89">
        <v>2380.0</v>
      </c>
      <c r="C366" s="89">
        <v>1.0</v>
      </c>
      <c r="D366" s="87" t="s">
        <v>205</v>
      </c>
      <c r="E366" s="89">
        <v>0.0</v>
      </c>
      <c r="F366" s="89">
        <v>0.307</v>
      </c>
      <c r="G366" s="89">
        <v>0.1532</v>
      </c>
      <c r="H366" s="87" t="s">
        <v>226</v>
      </c>
      <c r="I366" s="90">
        <f t="shared" si="1"/>
        <v>1.003916449</v>
      </c>
      <c r="J366" s="81">
        <f t="shared" si="2"/>
        <v>0.4990228013</v>
      </c>
    </row>
    <row r="367">
      <c r="A367" s="88">
        <v>44665.0</v>
      </c>
      <c r="B367" s="89">
        <v>2377.0</v>
      </c>
      <c r="C367" s="89">
        <v>1.0</v>
      </c>
      <c r="D367" s="87" t="s">
        <v>205</v>
      </c>
      <c r="E367" s="89">
        <v>0.0</v>
      </c>
      <c r="F367" s="89">
        <v>0.9023</v>
      </c>
      <c r="G367" s="89">
        <v>0.4499</v>
      </c>
      <c r="H367" s="87" t="s">
        <v>226</v>
      </c>
      <c r="I367" s="90">
        <f t="shared" si="1"/>
        <v>1.00555679</v>
      </c>
      <c r="J367" s="81">
        <f t="shared" si="2"/>
        <v>0.4986146514</v>
      </c>
    </row>
    <row r="368">
      <c r="A368" s="88">
        <v>44665.0</v>
      </c>
      <c r="B368" s="89">
        <v>2381.0</v>
      </c>
      <c r="C368" s="89">
        <v>1.0</v>
      </c>
      <c r="D368" s="87" t="s">
        <v>205</v>
      </c>
      <c r="E368" s="89">
        <v>1.0</v>
      </c>
      <c r="F368" s="89">
        <v>0.8082</v>
      </c>
      <c r="G368" s="89">
        <v>0.4023</v>
      </c>
      <c r="H368" s="87" t="s">
        <v>226</v>
      </c>
      <c r="I368" s="90">
        <f t="shared" si="1"/>
        <v>1.008948546</v>
      </c>
      <c r="J368" s="81">
        <f t="shared" si="2"/>
        <v>0.4977728285</v>
      </c>
    </row>
    <row r="369">
      <c r="A369" s="88">
        <v>44665.0</v>
      </c>
      <c r="B369" s="89">
        <v>2381.0</v>
      </c>
      <c r="C369" s="89">
        <v>2.0</v>
      </c>
      <c r="D369" s="87" t="s">
        <v>205</v>
      </c>
      <c r="E369" s="89">
        <v>1.0</v>
      </c>
      <c r="F369" s="89">
        <v>2.0297</v>
      </c>
      <c r="G369" s="89">
        <v>1.005</v>
      </c>
      <c r="H369" s="87" t="s">
        <v>226</v>
      </c>
      <c r="I369" s="90">
        <f t="shared" si="1"/>
        <v>1.01960199</v>
      </c>
      <c r="J369" s="81">
        <f t="shared" si="2"/>
        <v>0.4951470661</v>
      </c>
    </row>
    <row r="370">
      <c r="A370" s="88">
        <v>44665.0</v>
      </c>
      <c r="B370" s="89">
        <v>2009.0</v>
      </c>
      <c r="C370" s="89">
        <v>1.0</v>
      </c>
      <c r="D370" s="87" t="s">
        <v>205</v>
      </c>
      <c r="E370" s="89">
        <v>0.0</v>
      </c>
      <c r="F370" s="89">
        <v>1.6727</v>
      </c>
      <c r="G370" s="89">
        <v>0.8263</v>
      </c>
      <c r="H370" s="87" t="s">
        <v>226</v>
      </c>
      <c r="I370" s="90">
        <f t="shared" si="1"/>
        <v>1.024325306</v>
      </c>
      <c r="J370" s="81">
        <f t="shared" si="2"/>
        <v>0.4939917499</v>
      </c>
    </row>
    <row r="371">
      <c r="A371" s="88">
        <v>44665.0</v>
      </c>
      <c r="B371" s="89">
        <v>2028.0</v>
      </c>
      <c r="C371" s="89">
        <v>2.0</v>
      </c>
      <c r="D371" s="87" t="s">
        <v>205</v>
      </c>
      <c r="E371" s="89">
        <v>0.0</v>
      </c>
      <c r="F371" s="89">
        <v>0.7928</v>
      </c>
      <c r="G371" s="89">
        <v>0.3916</v>
      </c>
      <c r="H371" s="87" t="s">
        <v>226</v>
      </c>
      <c r="I371" s="90">
        <f t="shared" si="1"/>
        <v>1.024514811</v>
      </c>
      <c r="J371" s="81">
        <f t="shared" si="2"/>
        <v>0.4939455096</v>
      </c>
    </row>
    <row r="372">
      <c r="A372" s="88">
        <v>44665.0</v>
      </c>
      <c r="B372" s="89">
        <v>2025.0</v>
      </c>
      <c r="C372" s="89">
        <v>1.0</v>
      </c>
      <c r="D372" s="87" t="s">
        <v>205</v>
      </c>
      <c r="E372" s="89">
        <v>0.0</v>
      </c>
      <c r="F372" s="89">
        <v>0.5781</v>
      </c>
      <c r="G372" s="89">
        <v>0.2852</v>
      </c>
      <c r="H372" s="87" t="s">
        <v>226</v>
      </c>
      <c r="I372" s="90">
        <f t="shared" si="1"/>
        <v>1.026998597</v>
      </c>
      <c r="J372" s="81">
        <f t="shared" si="2"/>
        <v>0.4933402526</v>
      </c>
    </row>
    <row r="373">
      <c r="A373" s="88">
        <v>44665.0</v>
      </c>
      <c r="B373" s="89">
        <v>2383.0</v>
      </c>
      <c r="C373" s="89">
        <v>2.0</v>
      </c>
      <c r="D373" s="87" t="s">
        <v>204</v>
      </c>
      <c r="E373" s="89">
        <v>1.0</v>
      </c>
      <c r="F373" s="89">
        <v>0.0745</v>
      </c>
      <c r="G373" s="89">
        <v>0.0367</v>
      </c>
      <c r="H373" s="87" t="s">
        <v>226</v>
      </c>
      <c r="I373" s="90">
        <f t="shared" si="1"/>
        <v>1.029972752</v>
      </c>
      <c r="J373" s="81">
        <f t="shared" si="2"/>
        <v>0.4926174497</v>
      </c>
    </row>
    <row r="374">
      <c r="A374" s="88">
        <v>44665.0</v>
      </c>
      <c r="B374" s="89">
        <v>2012.0</v>
      </c>
      <c r="C374" s="89">
        <v>3.0</v>
      </c>
      <c r="D374" s="87" t="s">
        <v>204</v>
      </c>
      <c r="E374" s="89">
        <v>0.0</v>
      </c>
      <c r="F374" s="89">
        <v>0.2079</v>
      </c>
      <c r="G374" s="89">
        <v>0.1024</v>
      </c>
      <c r="H374" s="87" t="s">
        <v>226</v>
      </c>
      <c r="I374" s="90">
        <f t="shared" si="1"/>
        <v>1.030273438</v>
      </c>
      <c r="J374" s="81">
        <f t="shared" si="2"/>
        <v>0.4925444925</v>
      </c>
    </row>
    <row r="375">
      <c r="A375" s="88">
        <v>44665.0</v>
      </c>
      <c r="B375" s="89">
        <v>2021.0</v>
      </c>
      <c r="C375" s="89">
        <v>1.0</v>
      </c>
      <c r="D375" s="87" t="s">
        <v>204</v>
      </c>
      <c r="E375" s="89">
        <v>1.0</v>
      </c>
      <c r="F375" s="89">
        <v>0.0805</v>
      </c>
      <c r="G375" s="89">
        <v>0.0396</v>
      </c>
      <c r="H375" s="87" t="s">
        <v>226</v>
      </c>
      <c r="I375" s="90">
        <f t="shared" si="1"/>
        <v>1.032828283</v>
      </c>
      <c r="J375" s="81">
        <f t="shared" si="2"/>
        <v>0.4919254658</v>
      </c>
    </row>
    <row r="376">
      <c r="A376" s="88">
        <v>44665.0</v>
      </c>
      <c r="B376" s="89">
        <v>2383.0</v>
      </c>
      <c r="C376" s="89">
        <v>3.0</v>
      </c>
      <c r="D376" s="87" t="s">
        <v>205</v>
      </c>
      <c r="E376" s="87" t="s">
        <v>58</v>
      </c>
      <c r="F376" s="89">
        <v>1.624</v>
      </c>
      <c r="G376" s="89">
        <v>0.7983</v>
      </c>
      <c r="H376" s="87" t="s">
        <v>226</v>
      </c>
      <c r="I376" s="90">
        <f t="shared" si="1"/>
        <v>1.034322936</v>
      </c>
      <c r="J376" s="81">
        <f t="shared" si="2"/>
        <v>0.4915640394</v>
      </c>
    </row>
    <row r="377">
      <c r="A377" s="88">
        <v>44665.0</v>
      </c>
      <c r="B377" s="89">
        <v>2027.0</v>
      </c>
      <c r="C377" s="89">
        <v>1.0</v>
      </c>
      <c r="D377" s="87" t="s">
        <v>204</v>
      </c>
      <c r="E377" s="89">
        <v>1.0</v>
      </c>
      <c r="F377" s="89">
        <v>0.6319</v>
      </c>
      <c r="G377" s="89">
        <v>0.3104</v>
      </c>
      <c r="H377" s="87" t="s">
        <v>226</v>
      </c>
      <c r="I377" s="90">
        <f t="shared" si="1"/>
        <v>1.035760309</v>
      </c>
      <c r="J377" s="81">
        <f t="shared" si="2"/>
        <v>0.4912169647</v>
      </c>
    </row>
    <row r="378">
      <c r="A378" s="88">
        <v>44665.0</v>
      </c>
      <c r="B378" s="89">
        <v>2025.0</v>
      </c>
      <c r="C378" s="89">
        <v>2.0</v>
      </c>
      <c r="D378" s="87" t="s">
        <v>205</v>
      </c>
      <c r="E378" s="89">
        <v>0.0</v>
      </c>
      <c r="F378" s="89">
        <v>0.6313</v>
      </c>
      <c r="G378" s="89">
        <v>0.3101</v>
      </c>
      <c r="H378" s="87" t="s">
        <v>226</v>
      </c>
      <c r="I378" s="90">
        <f t="shared" si="1"/>
        <v>1.035794905</v>
      </c>
      <c r="J378" s="81">
        <f t="shared" si="2"/>
        <v>0.4912086171</v>
      </c>
    </row>
    <row r="379">
      <c r="A379" s="88">
        <v>44665.0</v>
      </c>
      <c r="B379" s="89">
        <v>2384.0</v>
      </c>
      <c r="C379" s="89">
        <v>1.0</v>
      </c>
      <c r="D379" s="87" t="s">
        <v>205</v>
      </c>
      <c r="E379" s="89">
        <v>0.0</v>
      </c>
      <c r="F379" s="89">
        <v>1.9089</v>
      </c>
      <c r="G379" s="89">
        <v>0.9373</v>
      </c>
      <c r="H379" s="87" t="s">
        <v>226</v>
      </c>
      <c r="I379" s="90">
        <f t="shared" si="1"/>
        <v>1.036594473</v>
      </c>
      <c r="J379" s="81">
        <f t="shared" si="2"/>
        <v>0.4910157682</v>
      </c>
    </row>
    <row r="380">
      <c r="A380" s="88">
        <v>44665.0</v>
      </c>
      <c r="B380" s="89">
        <v>2026.0</v>
      </c>
      <c r="C380" s="89">
        <v>1.0</v>
      </c>
      <c r="D380" s="87" t="s">
        <v>205</v>
      </c>
      <c r="E380" s="89">
        <v>1.0</v>
      </c>
      <c r="F380" s="89">
        <v>1.4449</v>
      </c>
      <c r="G380" s="89">
        <v>0.7089</v>
      </c>
      <c r="H380" s="87" t="s">
        <v>226</v>
      </c>
      <c r="I380" s="90">
        <f t="shared" si="1"/>
        <v>1.038228241</v>
      </c>
      <c r="J380" s="81">
        <f t="shared" si="2"/>
        <v>0.4906221884</v>
      </c>
    </row>
    <row r="381">
      <c r="A381" s="88">
        <v>44665.0</v>
      </c>
      <c r="B381" s="89">
        <v>2021.0</v>
      </c>
      <c r="C381" s="89">
        <v>1.0</v>
      </c>
      <c r="D381" s="87" t="s">
        <v>205</v>
      </c>
      <c r="E381" s="89">
        <v>0.0</v>
      </c>
      <c r="F381" s="89">
        <v>0.9799</v>
      </c>
      <c r="G381" s="89">
        <v>0.4795</v>
      </c>
      <c r="H381" s="87" t="s">
        <v>226</v>
      </c>
      <c r="I381" s="90">
        <f t="shared" si="1"/>
        <v>1.04358707</v>
      </c>
      <c r="J381" s="81">
        <f t="shared" si="2"/>
        <v>0.4893356465</v>
      </c>
    </row>
    <row r="382">
      <c r="A382" s="88">
        <v>44665.0</v>
      </c>
      <c r="B382" s="89">
        <v>2028.0</v>
      </c>
      <c r="C382" s="89">
        <v>1.0</v>
      </c>
      <c r="D382" s="87" t="s">
        <v>205</v>
      </c>
      <c r="E382" s="89">
        <v>0.0</v>
      </c>
      <c r="F382" s="89">
        <v>0.6103</v>
      </c>
      <c r="G382" s="89">
        <v>0.2986</v>
      </c>
      <c r="H382" s="87" t="s">
        <v>226</v>
      </c>
      <c r="I382" s="90">
        <f t="shared" si="1"/>
        <v>1.0438714</v>
      </c>
      <c r="J382" s="81">
        <f t="shared" si="2"/>
        <v>0.4892675733</v>
      </c>
    </row>
    <row r="383">
      <c r="A383" s="88">
        <v>44665.0</v>
      </c>
      <c r="B383" s="89">
        <v>2026.0</v>
      </c>
      <c r="C383" s="89">
        <v>2.0</v>
      </c>
      <c r="D383" s="87" t="s">
        <v>205</v>
      </c>
      <c r="E383" s="89">
        <v>0.0</v>
      </c>
      <c r="F383" s="89">
        <v>0.8188</v>
      </c>
      <c r="G383" s="89">
        <v>0.4006</v>
      </c>
      <c r="H383" s="87" t="s">
        <v>226</v>
      </c>
      <c r="I383" s="90">
        <f t="shared" si="1"/>
        <v>1.043934099</v>
      </c>
      <c r="J383" s="81">
        <f t="shared" si="2"/>
        <v>0.4892525647</v>
      </c>
    </row>
    <row r="384">
      <c r="A384" s="88">
        <v>44665.0</v>
      </c>
      <c r="B384" s="89">
        <v>2026.0</v>
      </c>
      <c r="C384" s="89">
        <v>2.0</v>
      </c>
      <c r="D384" s="87" t="s">
        <v>204</v>
      </c>
      <c r="E384" s="89">
        <v>1.0</v>
      </c>
      <c r="F384" s="89">
        <v>0.1269</v>
      </c>
      <c r="G384" s="89">
        <v>0.062</v>
      </c>
      <c r="H384" s="87" t="s">
        <v>226</v>
      </c>
      <c r="I384" s="90">
        <f t="shared" si="1"/>
        <v>1.046774194</v>
      </c>
      <c r="J384" s="81">
        <f t="shared" si="2"/>
        <v>0.4885736801</v>
      </c>
    </row>
    <row r="385">
      <c r="A385" s="88">
        <v>44665.0</v>
      </c>
      <c r="B385" s="89">
        <v>2007.0</v>
      </c>
      <c r="C385" s="89">
        <v>1.0</v>
      </c>
      <c r="D385" s="87" t="s">
        <v>205</v>
      </c>
      <c r="E385" s="89">
        <v>0.0</v>
      </c>
      <c r="F385" s="89">
        <v>1.0131</v>
      </c>
      <c r="G385" s="89">
        <v>0.4928</v>
      </c>
      <c r="H385" s="87" t="s">
        <v>226</v>
      </c>
      <c r="I385" s="90">
        <f t="shared" si="1"/>
        <v>1.055803571</v>
      </c>
      <c r="J385" s="81">
        <f t="shared" si="2"/>
        <v>0.4864277959</v>
      </c>
    </row>
    <row r="386">
      <c r="A386" s="88">
        <v>44665.0</v>
      </c>
      <c r="B386" s="89">
        <v>2384.0</v>
      </c>
      <c r="C386" s="89">
        <v>3.0</v>
      </c>
      <c r="D386" s="87" t="s">
        <v>205</v>
      </c>
      <c r="E386" s="89">
        <v>0.0</v>
      </c>
      <c r="F386" s="89">
        <v>1.651</v>
      </c>
      <c r="G386" s="89">
        <v>0.8004</v>
      </c>
      <c r="H386" s="87" t="s">
        <v>226</v>
      </c>
      <c r="I386" s="90">
        <f t="shared" si="1"/>
        <v>1.062718641</v>
      </c>
      <c r="J386" s="81">
        <f t="shared" si="2"/>
        <v>0.4847970927</v>
      </c>
    </row>
    <row r="387">
      <c r="A387" s="88">
        <v>44665.0</v>
      </c>
      <c r="B387" s="89">
        <v>2026.0</v>
      </c>
      <c r="C387" s="89">
        <v>1.0</v>
      </c>
      <c r="D387" s="87" t="s">
        <v>204</v>
      </c>
      <c r="E387" s="89">
        <v>1.0</v>
      </c>
      <c r="F387" s="89">
        <v>0.2663</v>
      </c>
      <c r="G387" s="89">
        <v>0.129</v>
      </c>
      <c r="H387" s="87" t="s">
        <v>226</v>
      </c>
      <c r="I387" s="90">
        <f t="shared" si="1"/>
        <v>1.064341085</v>
      </c>
      <c r="J387" s="81">
        <f t="shared" si="2"/>
        <v>0.4844160721</v>
      </c>
    </row>
    <row r="388">
      <c r="A388" s="88">
        <v>44665.0</v>
      </c>
      <c r="B388" s="89">
        <v>2012.0</v>
      </c>
      <c r="C388" s="89">
        <v>2.0</v>
      </c>
      <c r="D388" s="87" t="s">
        <v>204</v>
      </c>
      <c r="E388" s="89">
        <v>1.0</v>
      </c>
      <c r="F388" s="89">
        <v>0.34</v>
      </c>
      <c r="G388" s="89">
        <v>0.1646</v>
      </c>
      <c r="H388" s="87" t="s">
        <v>226</v>
      </c>
      <c r="I388" s="90">
        <f t="shared" si="1"/>
        <v>1.065613609</v>
      </c>
      <c r="J388" s="81">
        <f t="shared" si="2"/>
        <v>0.4841176471</v>
      </c>
    </row>
    <row r="389">
      <c r="A389" s="88">
        <v>44665.0</v>
      </c>
      <c r="B389" s="89">
        <v>2020.0</v>
      </c>
      <c r="C389" s="89">
        <v>2.0</v>
      </c>
      <c r="D389" s="87" t="s">
        <v>205</v>
      </c>
      <c r="E389" s="89">
        <v>0.0</v>
      </c>
      <c r="F389" s="89">
        <v>0.6946</v>
      </c>
      <c r="G389" s="89">
        <v>0.3361</v>
      </c>
      <c r="H389" s="87" t="s">
        <v>226</v>
      </c>
      <c r="I389" s="90">
        <f t="shared" si="1"/>
        <v>1.066646831</v>
      </c>
      <c r="J389" s="81">
        <f t="shared" si="2"/>
        <v>0.4838756119</v>
      </c>
    </row>
    <row r="390">
      <c r="A390" s="88">
        <v>44665.0</v>
      </c>
      <c r="B390" s="89">
        <v>2365.0</v>
      </c>
      <c r="C390" s="89">
        <v>1.0</v>
      </c>
      <c r="D390" s="87" t="s">
        <v>204</v>
      </c>
      <c r="E390" s="89">
        <v>1.0</v>
      </c>
      <c r="F390" s="89">
        <v>0.2314</v>
      </c>
      <c r="G390" s="89">
        <v>0.1115</v>
      </c>
      <c r="H390" s="87" t="s">
        <v>226</v>
      </c>
      <c r="I390" s="90">
        <f t="shared" si="1"/>
        <v>1.075336323</v>
      </c>
      <c r="J390" s="81">
        <f t="shared" si="2"/>
        <v>0.4818496111</v>
      </c>
    </row>
    <row r="391">
      <c r="A391" s="88">
        <v>44665.0</v>
      </c>
      <c r="B391" s="89">
        <v>2027.0</v>
      </c>
      <c r="C391" s="89">
        <v>1.0</v>
      </c>
      <c r="D391" s="87" t="s">
        <v>205</v>
      </c>
      <c r="E391" s="89">
        <v>0.0</v>
      </c>
      <c r="F391" s="89">
        <v>2.8076</v>
      </c>
      <c r="G391" s="89">
        <v>1.3516</v>
      </c>
      <c r="H391" s="87" t="s">
        <v>226</v>
      </c>
      <c r="I391" s="90">
        <f t="shared" si="1"/>
        <v>1.077241788</v>
      </c>
      <c r="J391" s="81">
        <f t="shared" si="2"/>
        <v>0.4814076079</v>
      </c>
    </row>
    <row r="392">
      <c r="A392" s="88">
        <v>44665.0</v>
      </c>
      <c r="B392" s="89">
        <v>2011.0</v>
      </c>
      <c r="C392" s="89">
        <v>1.0</v>
      </c>
      <c r="D392" s="87" t="s">
        <v>205</v>
      </c>
      <c r="E392" s="89">
        <v>0.0</v>
      </c>
      <c r="F392" s="89">
        <v>1.2608</v>
      </c>
      <c r="G392" s="89">
        <v>0.6066</v>
      </c>
      <c r="H392" s="87" t="s">
        <v>226</v>
      </c>
      <c r="I392" s="90">
        <f t="shared" si="1"/>
        <v>1.078470162</v>
      </c>
      <c r="J392" s="81">
        <f t="shared" si="2"/>
        <v>0.4811230964</v>
      </c>
    </row>
    <row r="393">
      <c r="A393" s="88">
        <v>44665.0</v>
      </c>
      <c r="B393" s="89">
        <v>2020.0</v>
      </c>
      <c r="C393" s="89">
        <v>1.0</v>
      </c>
      <c r="D393" s="87" t="s">
        <v>204</v>
      </c>
      <c r="E393" s="89">
        <v>1.0</v>
      </c>
      <c r="F393" s="89">
        <v>0.3115</v>
      </c>
      <c r="G393" s="89">
        <v>0.1495</v>
      </c>
      <c r="H393" s="87" t="s">
        <v>226</v>
      </c>
      <c r="I393" s="90">
        <f t="shared" si="1"/>
        <v>1.08361204</v>
      </c>
      <c r="J393" s="81">
        <f t="shared" si="2"/>
        <v>0.4799357945</v>
      </c>
    </row>
    <row r="394">
      <c r="A394" s="88">
        <v>44665.0</v>
      </c>
      <c r="B394" s="89">
        <v>2379.0</v>
      </c>
      <c r="C394" s="89">
        <v>1.0</v>
      </c>
      <c r="D394" s="87" t="s">
        <v>205</v>
      </c>
      <c r="E394" s="89">
        <v>0.0</v>
      </c>
      <c r="F394" s="89">
        <v>0.6672</v>
      </c>
      <c r="G394" s="89">
        <v>0.3196</v>
      </c>
      <c r="H394" s="87" t="s">
        <v>226</v>
      </c>
      <c r="I394" s="90">
        <f t="shared" si="1"/>
        <v>1.087609512</v>
      </c>
      <c r="J394" s="81">
        <f t="shared" si="2"/>
        <v>0.4790167866</v>
      </c>
    </row>
    <row r="395">
      <c r="A395" s="88">
        <v>44665.0</v>
      </c>
      <c r="B395" s="89">
        <v>2384.0</v>
      </c>
      <c r="C395" s="89">
        <v>2.0</v>
      </c>
      <c r="D395" s="87" t="s">
        <v>205</v>
      </c>
      <c r="E395" s="89">
        <v>0.0</v>
      </c>
      <c r="F395" s="89">
        <v>1.3069</v>
      </c>
      <c r="G395" s="89">
        <v>0.6255</v>
      </c>
      <c r="H395" s="87" t="s">
        <v>226</v>
      </c>
      <c r="I395" s="90">
        <f t="shared" si="1"/>
        <v>1.089368505</v>
      </c>
      <c r="J395" s="81">
        <f t="shared" si="2"/>
        <v>0.4786135129</v>
      </c>
    </row>
    <row r="396">
      <c r="A396" s="88">
        <v>44665.0</v>
      </c>
      <c r="B396" s="89">
        <v>2379.0</v>
      </c>
      <c r="C396" s="89">
        <v>3.0</v>
      </c>
      <c r="D396" s="87" t="s">
        <v>205</v>
      </c>
      <c r="E396" s="89">
        <v>0.0</v>
      </c>
      <c r="F396" s="89">
        <v>1.1223</v>
      </c>
      <c r="G396" s="89">
        <v>0.5362</v>
      </c>
      <c r="H396" s="87" t="s">
        <v>226</v>
      </c>
      <c r="I396" s="90">
        <f t="shared" si="1"/>
        <v>1.09306229</v>
      </c>
      <c r="J396" s="81">
        <f t="shared" si="2"/>
        <v>0.4777688675</v>
      </c>
    </row>
    <row r="397">
      <c r="A397" s="88">
        <v>44665.0</v>
      </c>
      <c r="B397" s="89">
        <v>2020.0</v>
      </c>
      <c r="C397" s="89">
        <v>2.0</v>
      </c>
      <c r="D397" s="87" t="s">
        <v>204</v>
      </c>
      <c r="E397" s="89">
        <v>1.0</v>
      </c>
      <c r="F397" s="89">
        <v>0.0781</v>
      </c>
      <c r="G397" s="89">
        <v>0.0372</v>
      </c>
      <c r="H397" s="87" t="s">
        <v>226</v>
      </c>
      <c r="I397" s="90">
        <f t="shared" si="1"/>
        <v>1.099462366</v>
      </c>
      <c r="J397" s="81">
        <f t="shared" si="2"/>
        <v>0.47631242</v>
      </c>
    </row>
    <row r="398">
      <c r="A398" s="88">
        <v>44665.0</v>
      </c>
      <c r="B398" s="89">
        <v>2350.0</v>
      </c>
      <c r="C398" s="89">
        <v>1.0</v>
      </c>
      <c r="D398" s="87" t="s">
        <v>204</v>
      </c>
      <c r="E398" s="89">
        <v>1.0</v>
      </c>
      <c r="F398" s="89">
        <v>0.2654</v>
      </c>
      <c r="G398" s="89">
        <v>0.1263</v>
      </c>
      <c r="H398" s="87" t="s">
        <v>226</v>
      </c>
      <c r="I398" s="90">
        <f t="shared" si="1"/>
        <v>1.101346002</v>
      </c>
      <c r="J398" s="81">
        <f t="shared" si="2"/>
        <v>0.4758854559</v>
      </c>
    </row>
    <row r="399">
      <c r="A399" s="88">
        <v>44665.0</v>
      </c>
      <c r="B399" s="89">
        <v>2005.0</v>
      </c>
      <c r="C399" s="89">
        <v>1.0</v>
      </c>
      <c r="D399" s="87" t="s">
        <v>205</v>
      </c>
      <c r="E399" s="89">
        <v>0.0</v>
      </c>
      <c r="F399" s="89">
        <v>2.5311</v>
      </c>
      <c r="G399" s="89">
        <v>1.2044</v>
      </c>
      <c r="H399" s="87" t="s">
        <v>226</v>
      </c>
      <c r="I399" s="90">
        <f t="shared" si="1"/>
        <v>1.101544337</v>
      </c>
      <c r="J399" s="81">
        <f t="shared" si="2"/>
        <v>0.4758405436</v>
      </c>
    </row>
    <row r="400">
      <c r="A400" s="88">
        <v>44665.0</v>
      </c>
      <c r="B400" s="89">
        <v>2007.0</v>
      </c>
      <c r="C400" s="89">
        <v>2.0</v>
      </c>
      <c r="D400" s="87" t="s">
        <v>204</v>
      </c>
      <c r="E400" s="89">
        <v>1.0</v>
      </c>
      <c r="F400" s="89">
        <v>0.1948</v>
      </c>
      <c r="G400" s="89">
        <v>0.0926</v>
      </c>
      <c r="H400" s="87" t="s">
        <v>226</v>
      </c>
      <c r="I400" s="90">
        <f t="shared" si="1"/>
        <v>1.103671706</v>
      </c>
      <c r="J400" s="81">
        <f t="shared" si="2"/>
        <v>0.4753593429</v>
      </c>
    </row>
    <row r="401">
      <c r="A401" s="88">
        <v>44665.0</v>
      </c>
      <c r="B401" s="89">
        <v>2004.0</v>
      </c>
      <c r="C401" s="89">
        <v>1.0</v>
      </c>
      <c r="D401" s="87" t="s">
        <v>204</v>
      </c>
      <c r="E401" s="89">
        <v>1.0</v>
      </c>
      <c r="F401" s="89">
        <v>0.2609</v>
      </c>
      <c r="G401" s="89">
        <v>0.1238</v>
      </c>
      <c r="H401" s="87" t="s">
        <v>226</v>
      </c>
      <c r="I401" s="90">
        <f t="shared" si="1"/>
        <v>1.107431341</v>
      </c>
      <c r="J401" s="81">
        <f t="shared" si="2"/>
        <v>0.474511307</v>
      </c>
    </row>
    <row r="402">
      <c r="A402" s="88">
        <v>44665.0</v>
      </c>
      <c r="B402" s="89">
        <v>2381.0</v>
      </c>
      <c r="C402" s="89">
        <v>2.0</v>
      </c>
      <c r="D402" s="87" t="s">
        <v>205</v>
      </c>
      <c r="E402" s="89">
        <v>0.0</v>
      </c>
      <c r="F402" s="89">
        <v>1.4029</v>
      </c>
      <c r="G402" s="89">
        <v>0.6649</v>
      </c>
      <c r="H402" s="87" t="s">
        <v>226</v>
      </c>
      <c r="I402" s="90">
        <f t="shared" si="1"/>
        <v>1.109941345</v>
      </c>
      <c r="J402" s="81">
        <f t="shared" si="2"/>
        <v>0.4739468244</v>
      </c>
    </row>
    <row r="403">
      <c r="A403" s="88">
        <v>44665.0</v>
      </c>
      <c r="B403" s="89">
        <v>2010.0</v>
      </c>
      <c r="C403" s="89">
        <v>1.0</v>
      </c>
      <c r="D403" s="87" t="s">
        <v>204</v>
      </c>
      <c r="E403" s="89">
        <v>1.0</v>
      </c>
      <c r="F403" s="89">
        <v>0.2414</v>
      </c>
      <c r="G403" s="89">
        <v>0.1144</v>
      </c>
      <c r="H403" s="87" t="s">
        <v>226</v>
      </c>
      <c r="I403" s="90">
        <f t="shared" si="1"/>
        <v>1.11013986</v>
      </c>
      <c r="J403" s="81">
        <f t="shared" si="2"/>
        <v>0.473902237</v>
      </c>
    </row>
    <row r="404">
      <c r="A404" s="88">
        <v>44665.0</v>
      </c>
      <c r="B404" s="89">
        <v>2381.0</v>
      </c>
      <c r="C404" s="89">
        <v>1.0</v>
      </c>
      <c r="D404" s="87" t="s">
        <v>204</v>
      </c>
      <c r="E404" s="89">
        <v>1.0</v>
      </c>
      <c r="F404" s="89">
        <v>0.6439</v>
      </c>
      <c r="G404" s="89">
        <v>0.3046</v>
      </c>
      <c r="H404" s="87" t="s">
        <v>226</v>
      </c>
      <c r="I404" s="90">
        <f t="shared" si="1"/>
        <v>1.113919895</v>
      </c>
      <c r="J404" s="81">
        <f t="shared" si="2"/>
        <v>0.4730548222</v>
      </c>
    </row>
    <row r="405">
      <c r="A405" s="88">
        <v>44665.0</v>
      </c>
      <c r="B405" s="89">
        <v>2025.0</v>
      </c>
      <c r="C405" s="89">
        <v>2.0</v>
      </c>
      <c r="D405" s="87" t="s">
        <v>204</v>
      </c>
      <c r="E405" s="89">
        <v>1.0</v>
      </c>
      <c r="F405" s="89">
        <v>0.0728</v>
      </c>
      <c r="G405" s="89">
        <v>0.0344</v>
      </c>
      <c r="H405" s="87" t="s">
        <v>226</v>
      </c>
      <c r="I405" s="90">
        <f t="shared" si="1"/>
        <v>1.11627907</v>
      </c>
      <c r="J405" s="81">
        <f t="shared" si="2"/>
        <v>0.4725274725</v>
      </c>
    </row>
    <row r="406">
      <c r="A406" s="88">
        <v>44665.0</v>
      </c>
      <c r="B406" s="89">
        <v>2379.0</v>
      </c>
      <c r="C406" s="89">
        <v>2.0</v>
      </c>
      <c r="D406" s="87" t="s">
        <v>205</v>
      </c>
      <c r="E406" s="89">
        <v>0.0</v>
      </c>
      <c r="F406" s="89">
        <v>0.9787</v>
      </c>
      <c r="G406" s="89">
        <v>0.4623</v>
      </c>
      <c r="H406" s="87" t="s">
        <v>226</v>
      </c>
      <c r="I406" s="90">
        <f t="shared" si="1"/>
        <v>1.117023578</v>
      </c>
      <c r="J406" s="81">
        <f t="shared" si="2"/>
        <v>0.4723612956</v>
      </c>
    </row>
    <row r="407">
      <c r="A407" s="88">
        <v>44665.0</v>
      </c>
      <c r="B407" s="89">
        <v>2369.0</v>
      </c>
      <c r="C407" s="89">
        <v>2.0</v>
      </c>
      <c r="D407" s="87" t="s">
        <v>204</v>
      </c>
      <c r="E407" s="89">
        <v>1.0</v>
      </c>
      <c r="F407" s="89">
        <v>0.2857</v>
      </c>
      <c r="G407" s="89">
        <v>0.1349</v>
      </c>
      <c r="H407" s="87" t="s">
        <v>226</v>
      </c>
      <c r="I407" s="90">
        <f t="shared" si="1"/>
        <v>1.117865085</v>
      </c>
      <c r="J407" s="81">
        <f t="shared" si="2"/>
        <v>0.4721736087</v>
      </c>
    </row>
    <row r="408">
      <c r="A408" s="88">
        <v>44665.0</v>
      </c>
      <c r="B408" s="89">
        <v>2369.0</v>
      </c>
      <c r="C408" s="89">
        <v>2.0</v>
      </c>
      <c r="D408" s="87" t="s">
        <v>205</v>
      </c>
      <c r="E408" s="89">
        <v>0.0</v>
      </c>
      <c r="F408" s="89">
        <v>0.9582</v>
      </c>
      <c r="G408" s="89">
        <v>0.4522</v>
      </c>
      <c r="H408" s="87" t="s">
        <v>226</v>
      </c>
      <c r="I408" s="90">
        <f t="shared" si="1"/>
        <v>1.118973905</v>
      </c>
      <c r="J408" s="81">
        <f t="shared" si="2"/>
        <v>0.4719265289</v>
      </c>
    </row>
    <row r="409">
      <c r="A409" s="88">
        <v>44665.0</v>
      </c>
      <c r="B409" s="89">
        <v>2020.0</v>
      </c>
      <c r="C409" s="89">
        <v>1.0</v>
      </c>
      <c r="D409" s="87" t="s">
        <v>205</v>
      </c>
      <c r="E409" s="89">
        <v>1.0</v>
      </c>
      <c r="F409" s="89">
        <v>0.7836</v>
      </c>
      <c r="G409" s="89">
        <v>0.3696</v>
      </c>
      <c r="H409" s="87" t="s">
        <v>226</v>
      </c>
      <c r="I409" s="90">
        <f t="shared" si="1"/>
        <v>1.12012987</v>
      </c>
      <c r="J409" s="81">
        <f t="shared" si="2"/>
        <v>0.471669219</v>
      </c>
    </row>
    <row r="410">
      <c r="A410" s="88">
        <v>44665.0</v>
      </c>
      <c r="B410" s="89">
        <v>2351.0</v>
      </c>
      <c r="C410" s="89">
        <v>2.0</v>
      </c>
      <c r="D410" s="87" t="s">
        <v>205</v>
      </c>
      <c r="E410" s="89">
        <v>1.0</v>
      </c>
      <c r="F410" s="89">
        <v>0.4046</v>
      </c>
      <c r="G410" s="89">
        <v>0.1895</v>
      </c>
      <c r="H410" s="87" t="s">
        <v>226</v>
      </c>
      <c r="I410" s="90">
        <f t="shared" si="1"/>
        <v>1.135092348</v>
      </c>
      <c r="J410" s="81">
        <f t="shared" si="2"/>
        <v>0.4683638161</v>
      </c>
    </row>
    <row r="411">
      <c r="A411" s="88">
        <v>44665.0</v>
      </c>
      <c r="B411" s="89">
        <v>2379.0</v>
      </c>
      <c r="C411" s="89">
        <v>1.0</v>
      </c>
      <c r="D411" s="87" t="s">
        <v>204</v>
      </c>
      <c r="E411" s="89">
        <v>0.0</v>
      </c>
      <c r="F411" s="89">
        <v>0.0079</v>
      </c>
      <c r="G411" s="89">
        <v>0.0037</v>
      </c>
      <c r="H411" s="87" t="s">
        <v>226</v>
      </c>
      <c r="I411" s="90">
        <f t="shared" si="1"/>
        <v>1.135135135</v>
      </c>
      <c r="J411" s="81">
        <f t="shared" si="2"/>
        <v>0.4683544304</v>
      </c>
    </row>
    <row r="412">
      <c r="A412" s="88">
        <v>44665.0</v>
      </c>
      <c r="B412" s="89">
        <v>2010.0</v>
      </c>
      <c r="C412" s="89">
        <v>2.0</v>
      </c>
      <c r="D412" s="87" t="s">
        <v>204</v>
      </c>
      <c r="E412" s="89">
        <v>1.0</v>
      </c>
      <c r="F412" s="89">
        <v>0.1232</v>
      </c>
      <c r="G412" s="89">
        <v>0.0577</v>
      </c>
      <c r="H412" s="87" t="s">
        <v>226</v>
      </c>
      <c r="I412" s="90">
        <f t="shared" si="1"/>
        <v>1.135181976</v>
      </c>
      <c r="J412" s="81">
        <f t="shared" si="2"/>
        <v>0.4683441558</v>
      </c>
    </row>
    <row r="413">
      <c r="A413" s="88">
        <v>44665.0</v>
      </c>
      <c r="B413" s="89">
        <v>2007.0</v>
      </c>
      <c r="C413" s="89">
        <v>1.0</v>
      </c>
      <c r="D413" s="87" t="s">
        <v>204</v>
      </c>
      <c r="E413" s="89">
        <v>1.0</v>
      </c>
      <c r="F413" s="89">
        <v>0.0953</v>
      </c>
      <c r="G413" s="89">
        <v>0.0445</v>
      </c>
      <c r="H413" s="87" t="s">
        <v>226</v>
      </c>
      <c r="I413" s="90">
        <f t="shared" si="1"/>
        <v>1.141573034</v>
      </c>
      <c r="J413" s="81">
        <f t="shared" si="2"/>
        <v>0.4669464848</v>
      </c>
    </row>
    <row r="414">
      <c r="A414" s="88">
        <v>44665.0</v>
      </c>
      <c r="B414" s="89">
        <v>2360.0</v>
      </c>
      <c r="C414" s="89">
        <v>1.0</v>
      </c>
      <c r="D414" s="87" t="s">
        <v>205</v>
      </c>
      <c r="E414" s="89">
        <v>0.0</v>
      </c>
      <c r="F414" s="89">
        <v>1.4565</v>
      </c>
      <c r="G414" s="89">
        <v>0.68</v>
      </c>
      <c r="H414" s="87" t="s">
        <v>226</v>
      </c>
      <c r="I414" s="90">
        <f t="shared" si="1"/>
        <v>1.141911765</v>
      </c>
      <c r="J414" s="81">
        <f t="shared" si="2"/>
        <v>0.4668726399</v>
      </c>
    </row>
    <row r="415">
      <c r="A415" s="88">
        <v>44665.0</v>
      </c>
      <c r="B415" s="89">
        <v>2005.0</v>
      </c>
      <c r="C415" s="89">
        <v>1.0</v>
      </c>
      <c r="D415" s="87" t="s">
        <v>204</v>
      </c>
      <c r="E415" s="89">
        <v>1.0</v>
      </c>
      <c r="F415" s="89">
        <v>0.268</v>
      </c>
      <c r="G415" s="89">
        <v>0.1247</v>
      </c>
      <c r="H415" s="87" t="s">
        <v>226</v>
      </c>
      <c r="I415" s="90">
        <f t="shared" si="1"/>
        <v>1.149157979</v>
      </c>
      <c r="J415" s="81">
        <f t="shared" si="2"/>
        <v>0.4652985075</v>
      </c>
    </row>
    <row r="416">
      <c r="A416" s="88">
        <v>44665.0</v>
      </c>
      <c r="B416" s="89">
        <v>2369.0</v>
      </c>
      <c r="C416" s="89">
        <v>1.0</v>
      </c>
      <c r="D416" s="87" t="s">
        <v>205</v>
      </c>
      <c r="E416" s="89">
        <v>0.0</v>
      </c>
      <c r="F416" s="89">
        <v>0.5382</v>
      </c>
      <c r="G416" s="89">
        <v>0.2504</v>
      </c>
      <c r="H416" s="87" t="s">
        <v>226</v>
      </c>
      <c r="I416" s="90">
        <f t="shared" si="1"/>
        <v>1.149361022</v>
      </c>
      <c r="J416" s="81">
        <f t="shared" si="2"/>
        <v>0.4652545522</v>
      </c>
    </row>
    <row r="417">
      <c r="A417" s="88">
        <v>44665.0</v>
      </c>
      <c r="B417" s="89">
        <v>2010.0</v>
      </c>
      <c r="C417" s="89">
        <v>2.0</v>
      </c>
      <c r="D417" s="87" t="s">
        <v>205</v>
      </c>
      <c r="E417" s="89">
        <v>0.0</v>
      </c>
      <c r="F417" s="89">
        <v>1.6937</v>
      </c>
      <c r="G417" s="89">
        <v>0.788</v>
      </c>
      <c r="H417" s="87" t="s">
        <v>226</v>
      </c>
      <c r="I417" s="90">
        <f t="shared" si="1"/>
        <v>1.149365482</v>
      </c>
      <c r="J417" s="81">
        <f t="shared" si="2"/>
        <v>0.4652535868</v>
      </c>
    </row>
    <row r="418">
      <c r="A418" s="88">
        <v>44665.0</v>
      </c>
      <c r="B418" s="89">
        <v>2381.0</v>
      </c>
      <c r="C418" s="89">
        <v>1.0</v>
      </c>
      <c r="D418" s="87" t="s">
        <v>205</v>
      </c>
      <c r="E418" s="89">
        <v>0.0</v>
      </c>
      <c r="F418" s="89">
        <v>2.0931</v>
      </c>
      <c r="G418" s="89">
        <v>0.9718</v>
      </c>
      <c r="H418" s="87" t="s">
        <v>226</v>
      </c>
      <c r="I418" s="90">
        <f t="shared" si="1"/>
        <v>1.153838238</v>
      </c>
      <c r="J418" s="81">
        <f t="shared" si="2"/>
        <v>0.4642874206</v>
      </c>
    </row>
    <row r="419">
      <c r="A419" s="88">
        <v>44665.0</v>
      </c>
      <c r="B419" s="89">
        <v>2381.0</v>
      </c>
      <c r="C419" s="89">
        <v>2.0</v>
      </c>
      <c r="D419" s="87" t="s">
        <v>204</v>
      </c>
      <c r="E419" s="89">
        <v>1.0</v>
      </c>
      <c r="F419" s="89">
        <v>0.3042</v>
      </c>
      <c r="G419" s="89">
        <v>0.1412</v>
      </c>
      <c r="H419" s="87" t="s">
        <v>226</v>
      </c>
      <c r="I419" s="90">
        <f t="shared" si="1"/>
        <v>1.154390935</v>
      </c>
      <c r="J419" s="81">
        <f t="shared" si="2"/>
        <v>0.4641683103</v>
      </c>
    </row>
    <row r="420">
      <c r="A420" s="88">
        <v>44665.0</v>
      </c>
      <c r="B420" s="89">
        <v>2004.0</v>
      </c>
      <c r="C420" s="89">
        <v>2.0</v>
      </c>
      <c r="D420" s="87" t="s">
        <v>204</v>
      </c>
      <c r="E420" s="89">
        <v>1.0</v>
      </c>
      <c r="F420" s="89">
        <v>0.2032</v>
      </c>
      <c r="G420" s="89">
        <v>0.0937</v>
      </c>
      <c r="H420" s="87" t="s">
        <v>226</v>
      </c>
      <c r="I420" s="90">
        <f t="shared" si="1"/>
        <v>1.168623266</v>
      </c>
      <c r="J420" s="81">
        <f t="shared" si="2"/>
        <v>0.4611220472</v>
      </c>
    </row>
    <row r="421">
      <c r="A421" s="88">
        <v>44665.0</v>
      </c>
      <c r="B421" s="89">
        <v>2381.0</v>
      </c>
      <c r="C421" s="89">
        <v>3.0</v>
      </c>
      <c r="D421" s="87" t="s">
        <v>204</v>
      </c>
      <c r="E421" s="89">
        <v>0.0</v>
      </c>
      <c r="F421" s="89">
        <v>0.358</v>
      </c>
      <c r="G421" s="89">
        <v>0.1649</v>
      </c>
      <c r="H421" s="87" t="s">
        <v>226</v>
      </c>
      <c r="I421" s="90">
        <f t="shared" si="1"/>
        <v>1.171012735</v>
      </c>
      <c r="J421" s="81">
        <f t="shared" si="2"/>
        <v>0.4606145251</v>
      </c>
    </row>
    <row r="422">
      <c r="A422" s="88">
        <v>44665.0</v>
      </c>
      <c r="B422" s="89">
        <v>2028.0</v>
      </c>
      <c r="C422" s="89">
        <v>1.0</v>
      </c>
      <c r="D422" s="87" t="s">
        <v>205</v>
      </c>
      <c r="E422" s="89">
        <v>0.0</v>
      </c>
      <c r="F422" s="89">
        <v>0.0604</v>
      </c>
      <c r="G422" s="89">
        <v>0.0277</v>
      </c>
      <c r="H422" s="87" t="s">
        <v>226</v>
      </c>
      <c r="I422" s="90">
        <f t="shared" si="1"/>
        <v>1.180505415</v>
      </c>
      <c r="J422" s="81">
        <f t="shared" si="2"/>
        <v>0.4586092715</v>
      </c>
    </row>
    <row r="423">
      <c r="A423" s="88">
        <v>44665.0</v>
      </c>
      <c r="B423" s="89">
        <v>2078.0</v>
      </c>
      <c r="C423" s="89">
        <v>1.0</v>
      </c>
      <c r="D423" s="87" t="s">
        <v>205</v>
      </c>
      <c r="E423" s="89">
        <v>0.0</v>
      </c>
      <c r="F423" s="89">
        <v>0.6481</v>
      </c>
      <c r="G423" s="89">
        <v>0.2966</v>
      </c>
      <c r="H423" s="87" t="s">
        <v>226</v>
      </c>
      <c r="I423" s="90">
        <f t="shared" si="1"/>
        <v>1.185097775</v>
      </c>
      <c r="J423" s="81">
        <f t="shared" si="2"/>
        <v>0.4576454251</v>
      </c>
    </row>
    <row r="424">
      <c r="A424" s="88">
        <v>44665.0</v>
      </c>
      <c r="B424" s="89">
        <v>2365.0</v>
      </c>
      <c r="C424" s="89">
        <v>1.0</v>
      </c>
      <c r="D424" s="87" t="s">
        <v>205</v>
      </c>
      <c r="E424" s="89">
        <v>0.0</v>
      </c>
      <c r="F424" s="89">
        <v>0.8096</v>
      </c>
      <c r="G424" s="89">
        <v>0.3704</v>
      </c>
      <c r="H424" s="87" t="s">
        <v>226</v>
      </c>
      <c r="I424" s="90">
        <f t="shared" si="1"/>
        <v>1.18574514</v>
      </c>
      <c r="J424" s="81">
        <f t="shared" si="2"/>
        <v>0.4575098814</v>
      </c>
    </row>
    <row r="425">
      <c r="A425" s="88">
        <v>44665.0</v>
      </c>
      <c r="B425" s="89">
        <v>2382.0</v>
      </c>
      <c r="C425" s="89">
        <v>2.0</v>
      </c>
      <c r="D425" s="87" t="s">
        <v>204</v>
      </c>
      <c r="E425" s="89">
        <v>1.0</v>
      </c>
      <c r="F425" s="89">
        <v>0.1527</v>
      </c>
      <c r="G425" s="89">
        <v>0.0697</v>
      </c>
      <c r="H425" s="87" t="s">
        <v>226</v>
      </c>
      <c r="I425" s="90">
        <f t="shared" si="1"/>
        <v>1.190817791</v>
      </c>
      <c r="J425" s="81">
        <f t="shared" si="2"/>
        <v>0.4564505566</v>
      </c>
    </row>
    <row r="426">
      <c r="A426" s="88">
        <v>44665.0</v>
      </c>
      <c r="B426" s="89">
        <v>2378.0</v>
      </c>
      <c r="C426" s="89">
        <v>2.0</v>
      </c>
      <c r="D426" s="87" t="s">
        <v>205</v>
      </c>
      <c r="E426" s="89">
        <v>0.0</v>
      </c>
      <c r="F426" s="89">
        <v>0.6205</v>
      </c>
      <c r="G426" s="89">
        <v>0.283</v>
      </c>
      <c r="H426" s="87" t="s">
        <v>226</v>
      </c>
      <c r="I426" s="90">
        <f t="shared" si="1"/>
        <v>1.192579505</v>
      </c>
      <c r="J426" s="81">
        <f t="shared" si="2"/>
        <v>0.4560838034</v>
      </c>
    </row>
    <row r="427">
      <c r="A427" s="88">
        <v>44665.0</v>
      </c>
      <c r="B427" s="89">
        <v>2351.0</v>
      </c>
      <c r="C427" s="89">
        <v>1.0</v>
      </c>
      <c r="D427" s="87" t="s">
        <v>204</v>
      </c>
      <c r="E427" s="89">
        <v>1.0</v>
      </c>
      <c r="F427" s="89">
        <v>0.0555</v>
      </c>
      <c r="G427" s="89">
        <v>0.0253</v>
      </c>
      <c r="H427" s="87" t="s">
        <v>226</v>
      </c>
      <c r="I427" s="90">
        <f t="shared" si="1"/>
        <v>1.193675889</v>
      </c>
      <c r="J427" s="81">
        <f t="shared" si="2"/>
        <v>0.4558558559</v>
      </c>
    </row>
    <row r="428">
      <c r="A428" s="88">
        <v>44665.0</v>
      </c>
      <c r="B428" s="89">
        <v>2351.0</v>
      </c>
      <c r="C428" s="89">
        <v>3.0</v>
      </c>
      <c r="D428" s="87" t="s">
        <v>205</v>
      </c>
      <c r="E428" s="89">
        <v>0.0</v>
      </c>
      <c r="F428" s="89">
        <v>0.5845</v>
      </c>
      <c r="G428" s="89">
        <v>0.2662</v>
      </c>
      <c r="H428" s="87" t="s">
        <v>226</v>
      </c>
      <c r="I428" s="90">
        <f t="shared" si="1"/>
        <v>1.195717506</v>
      </c>
      <c r="J428" s="81">
        <f t="shared" si="2"/>
        <v>0.4554319932</v>
      </c>
    </row>
    <row r="429">
      <c r="A429" s="88">
        <v>44665.0</v>
      </c>
      <c r="B429" s="89">
        <v>2028.0</v>
      </c>
      <c r="C429" s="89">
        <v>2.0</v>
      </c>
      <c r="D429" s="87" t="s">
        <v>204</v>
      </c>
      <c r="E429" s="89">
        <v>1.0</v>
      </c>
      <c r="F429" s="89">
        <v>0.0726</v>
      </c>
      <c r="G429" s="89">
        <v>0.033</v>
      </c>
      <c r="H429" s="87" t="s">
        <v>226</v>
      </c>
      <c r="I429" s="90">
        <f t="shared" si="1"/>
        <v>1.2</v>
      </c>
      <c r="J429" s="81">
        <f t="shared" si="2"/>
        <v>0.4545454545</v>
      </c>
    </row>
    <row r="430">
      <c r="A430" s="88">
        <v>44665.0</v>
      </c>
      <c r="B430" s="89">
        <v>2367.0</v>
      </c>
      <c r="C430" s="89">
        <v>1.0</v>
      </c>
      <c r="D430" s="87" t="s">
        <v>205</v>
      </c>
      <c r="E430" s="89">
        <v>0.0</v>
      </c>
      <c r="F430" s="89">
        <v>0.4867</v>
      </c>
      <c r="G430" s="89">
        <v>0.2212</v>
      </c>
      <c r="H430" s="87" t="s">
        <v>226</v>
      </c>
      <c r="I430" s="90">
        <f t="shared" si="1"/>
        <v>1.200271248</v>
      </c>
      <c r="J430" s="81">
        <f t="shared" si="2"/>
        <v>0.4544894185</v>
      </c>
    </row>
    <row r="431">
      <c r="A431" s="88">
        <v>44665.0</v>
      </c>
      <c r="B431" s="89">
        <v>2381.0</v>
      </c>
      <c r="C431" s="89">
        <v>3.0</v>
      </c>
      <c r="D431" s="87" t="s">
        <v>205</v>
      </c>
      <c r="E431" s="89">
        <v>0.0</v>
      </c>
      <c r="F431" s="89">
        <v>1.8003</v>
      </c>
      <c r="G431" s="89">
        <v>0.8122</v>
      </c>
      <c r="H431" s="87" t="s">
        <v>226</v>
      </c>
      <c r="I431" s="90">
        <f t="shared" si="1"/>
        <v>1.216572273</v>
      </c>
      <c r="J431" s="81">
        <f t="shared" si="2"/>
        <v>0.4511470311</v>
      </c>
    </row>
    <row r="432">
      <c r="A432" s="88">
        <v>44665.0</v>
      </c>
      <c r="B432" s="89">
        <v>2375.0</v>
      </c>
      <c r="C432" s="89">
        <v>1.0</v>
      </c>
      <c r="D432" s="87" t="s">
        <v>204</v>
      </c>
      <c r="E432" s="89">
        <v>0.0</v>
      </c>
      <c r="F432" s="89">
        <v>0.1119</v>
      </c>
      <c r="G432" s="89">
        <v>0.0504</v>
      </c>
      <c r="H432" s="87" t="s">
        <v>226</v>
      </c>
      <c r="I432" s="90">
        <f t="shared" si="1"/>
        <v>1.220238095</v>
      </c>
      <c r="J432" s="81">
        <f t="shared" si="2"/>
        <v>0.4504021448</v>
      </c>
    </row>
    <row r="433">
      <c r="A433" s="88">
        <v>44665.0</v>
      </c>
      <c r="B433" s="89">
        <v>2381.0</v>
      </c>
      <c r="C433" s="89">
        <v>3.0</v>
      </c>
      <c r="D433" s="87" t="s">
        <v>204</v>
      </c>
      <c r="E433" s="89">
        <v>0.0</v>
      </c>
      <c r="F433" s="89">
        <v>0.1168</v>
      </c>
      <c r="G433" s="89">
        <v>0.0526</v>
      </c>
      <c r="H433" s="87" t="s">
        <v>226</v>
      </c>
      <c r="I433" s="90">
        <f t="shared" si="1"/>
        <v>1.220532319</v>
      </c>
      <c r="J433" s="81">
        <f t="shared" si="2"/>
        <v>0.4503424658</v>
      </c>
    </row>
    <row r="434">
      <c r="A434" s="88">
        <v>44665.0</v>
      </c>
      <c r="B434" s="89">
        <v>2012.0</v>
      </c>
      <c r="C434" s="89">
        <v>2.0</v>
      </c>
      <c r="D434" s="87" t="s">
        <v>204</v>
      </c>
      <c r="E434" s="89">
        <v>0.0</v>
      </c>
      <c r="F434" s="89">
        <v>1.1387</v>
      </c>
      <c r="G434" s="89">
        <v>0.5126</v>
      </c>
      <c r="H434" s="87" t="s">
        <v>226</v>
      </c>
      <c r="I434" s="90">
        <f t="shared" si="1"/>
        <v>1.221420211</v>
      </c>
      <c r="J434" s="81">
        <f t="shared" si="2"/>
        <v>0.450162466</v>
      </c>
    </row>
    <row r="435">
      <c r="A435" s="88">
        <v>44665.0</v>
      </c>
      <c r="B435" s="89">
        <v>2007.0</v>
      </c>
      <c r="C435" s="89">
        <v>2.0</v>
      </c>
      <c r="D435" s="87" t="s">
        <v>204</v>
      </c>
      <c r="E435" s="89">
        <v>0.0</v>
      </c>
      <c r="F435" s="89">
        <v>0.3182</v>
      </c>
      <c r="G435" s="89">
        <v>0.1432</v>
      </c>
      <c r="H435" s="87" t="s">
        <v>226</v>
      </c>
      <c r="I435" s="90">
        <f t="shared" si="1"/>
        <v>1.222067039</v>
      </c>
      <c r="J435" s="81">
        <f t="shared" si="2"/>
        <v>0.4500314268</v>
      </c>
    </row>
    <row r="436">
      <c r="A436" s="88">
        <v>44665.0</v>
      </c>
      <c r="B436" s="89">
        <v>2367.0</v>
      </c>
      <c r="C436" s="89">
        <v>1.0</v>
      </c>
      <c r="D436" s="87" t="s">
        <v>204</v>
      </c>
      <c r="E436" s="89">
        <v>1.0</v>
      </c>
      <c r="F436" s="89">
        <v>0.0329</v>
      </c>
      <c r="G436" s="89">
        <v>0.0148</v>
      </c>
      <c r="H436" s="87" t="s">
        <v>226</v>
      </c>
      <c r="I436" s="90">
        <f t="shared" si="1"/>
        <v>1.222972973</v>
      </c>
      <c r="J436" s="81">
        <f t="shared" si="2"/>
        <v>0.4498480243</v>
      </c>
    </row>
    <row r="437">
      <c r="A437" s="88">
        <v>44665.0</v>
      </c>
      <c r="B437" s="89">
        <v>2012.0</v>
      </c>
      <c r="C437" s="89">
        <v>1.0</v>
      </c>
      <c r="D437" s="87" t="s">
        <v>205</v>
      </c>
      <c r="E437" s="89">
        <v>0.0</v>
      </c>
      <c r="F437" s="89">
        <v>1.1115</v>
      </c>
      <c r="G437" s="89">
        <v>0.4992</v>
      </c>
      <c r="H437" s="87" t="s">
        <v>226</v>
      </c>
      <c r="I437" s="90">
        <f t="shared" si="1"/>
        <v>1.2265625</v>
      </c>
      <c r="J437" s="81">
        <f t="shared" si="2"/>
        <v>0.449122807</v>
      </c>
    </row>
    <row r="438">
      <c r="A438" s="88">
        <v>44665.0</v>
      </c>
      <c r="B438" s="89">
        <v>2025.0</v>
      </c>
      <c r="C438" s="89">
        <v>2.0</v>
      </c>
      <c r="D438" s="87" t="s">
        <v>204</v>
      </c>
      <c r="E438" s="89">
        <v>0.0</v>
      </c>
      <c r="F438" s="89">
        <v>0.0568</v>
      </c>
      <c r="G438" s="89">
        <v>0.0254</v>
      </c>
      <c r="H438" s="87" t="s">
        <v>226</v>
      </c>
      <c r="I438" s="90">
        <f t="shared" si="1"/>
        <v>1.236220472</v>
      </c>
      <c r="J438" s="81">
        <f t="shared" si="2"/>
        <v>0.4471830986</v>
      </c>
    </row>
    <row r="439">
      <c r="A439" s="88">
        <v>44665.0</v>
      </c>
      <c r="B439" s="89">
        <v>2367.0</v>
      </c>
      <c r="C439" s="89">
        <v>2.0</v>
      </c>
      <c r="D439" s="87" t="s">
        <v>205</v>
      </c>
      <c r="E439" s="89">
        <v>0.0</v>
      </c>
      <c r="F439" s="89">
        <v>0.6433</v>
      </c>
      <c r="G439" s="89">
        <v>0.2857</v>
      </c>
      <c r="H439" s="87" t="s">
        <v>226</v>
      </c>
      <c r="I439" s="90">
        <f t="shared" si="1"/>
        <v>1.251662583</v>
      </c>
      <c r="J439" s="81">
        <f t="shared" si="2"/>
        <v>0.4441162755</v>
      </c>
    </row>
    <row r="440">
      <c r="A440" s="88">
        <v>44665.0</v>
      </c>
      <c r="B440" s="89">
        <v>2012.0</v>
      </c>
      <c r="C440" s="89">
        <v>3.0</v>
      </c>
      <c r="D440" s="87" t="s">
        <v>205</v>
      </c>
      <c r="E440" s="89">
        <v>0.0</v>
      </c>
      <c r="F440" s="89">
        <v>0.5889</v>
      </c>
      <c r="G440" s="89">
        <v>0.2613</v>
      </c>
      <c r="H440" s="87" t="s">
        <v>226</v>
      </c>
      <c r="I440" s="90">
        <f t="shared" si="1"/>
        <v>1.253731343</v>
      </c>
      <c r="J440" s="81">
        <f t="shared" si="2"/>
        <v>0.4437086093</v>
      </c>
    </row>
    <row r="441">
      <c r="A441" s="88">
        <v>44665.0</v>
      </c>
      <c r="B441" s="89">
        <v>2011.0</v>
      </c>
      <c r="C441" s="89">
        <v>1.0</v>
      </c>
      <c r="D441" s="87" t="s">
        <v>204</v>
      </c>
      <c r="E441" s="89">
        <v>1.0</v>
      </c>
      <c r="F441" s="89">
        <v>0.2529</v>
      </c>
      <c r="G441" s="89">
        <v>0.1121</v>
      </c>
      <c r="H441" s="87" t="s">
        <v>226</v>
      </c>
      <c r="I441" s="90">
        <f t="shared" si="1"/>
        <v>1.256021409</v>
      </c>
      <c r="J441" s="81">
        <f t="shared" si="2"/>
        <v>0.4432582048</v>
      </c>
    </row>
    <row r="442">
      <c r="A442" s="88">
        <v>44665.0</v>
      </c>
      <c r="B442" s="89">
        <v>2013.0</v>
      </c>
      <c r="C442" s="89">
        <v>1.0</v>
      </c>
      <c r="D442" s="87" t="s">
        <v>204</v>
      </c>
      <c r="E442" s="89">
        <v>1.0</v>
      </c>
      <c r="F442" s="89">
        <v>0.1424</v>
      </c>
      <c r="G442" s="89">
        <v>0.0631</v>
      </c>
      <c r="H442" s="87" t="s">
        <v>226</v>
      </c>
      <c r="I442" s="90">
        <f t="shared" si="1"/>
        <v>1.256735341</v>
      </c>
      <c r="J442" s="81">
        <f t="shared" si="2"/>
        <v>0.4431179775</v>
      </c>
    </row>
    <row r="443">
      <c r="A443" s="88">
        <v>44665.0</v>
      </c>
      <c r="B443" s="89">
        <v>2379.0</v>
      </c>
      <c r="C443" s="89">
        <v>3.0</v>
      </c>
      <c r="D443" s="87" t="s">
        <v>204</v>
      </c>
      <c r="E443" s="89">
        <v>0.0</v>
      </c>
      <c r="F443" s="89">
        <v>0.1633</v>
      </c>
      <c r="G443" s="89">
        <v>0.0721</v>
      </c>
      <c r="H443" s="87" t="s">
        <v>226</v>
      </c>
      <c r="I443" s="90">
        <f t="shared" si="1"/>
        <v>1.264909847</v>
      </c>
      <c r="J443" s="81">
        <f t="shared" si="2"/>
        <v>0.4415186773</v>
      </c>
    </row>
    <row r="444">
      <c r="A444" s="88">
        <v>44665.0</v>
      </c>
      <c r="B444" s="89">
        <v>2351.0</v>
      </c>
      <c r="C444" s="89">
        <v>1.0</v>
      </c>
      <c r="D444" s="87" t="s">
        <v>205</v>
      </c>
      <c r="E444" s="89">
        <v>0.0</v>
      </c>
      <c r="F444" s="89">
        <v>0.4561</v>
      </c>
      <c r="G444" s="89">
        <v>0.2008</v>
      </c>
      <c r="H444" s="87" t="s">
        <v>226</v>
      </c>
      <c r="I444" s="90">
        <f t="shared" si="1"/>
        <v>1.271414343</v>
      </c>
      <c r="J444" s="81">
        <f t="shared" si="2"/>
        <v>0.4402543302</v>
      </c>
    </row>
    <row r="445">
      <c r="A445" s="88">
        <v>44665.0</v>
      </c>
      <c r="B445" s="89">
        <v>2383.0</v>
      </c>
      <c r="C445" s="89">
        <v>1.0</v>
      </c>
      <c r="D445" s="87" t="s">
        <v>204</v>
      </c>
      <c r="E445" s="89">
        <v>0.0</v>
      </c>
      <c r="F445" s="89">
        <v>0.093</v>
      </c>
      <c r="G445" s="89">
        <v>0.0408</v>
      </c>
      <c r="H445" s="87" t="s">
        <v>226</v>
      </c>
      <c r="I445" s="90">
        <f t="shared" si="1"/>
        <v>1.279411765</v>
      </c>
      <c r="J445" s="81">
        <f t="shared" si="2"/>
        <v>0.4387096774</v>
      </c>
    </row>
    <row r="446">
      <c r="A446" s="88">
        <v>44665.0</v>
      </c>
      <c r="B446" s="89">
        <v>2360.0</v>
      </c>
      <c r="C446" s="89">
        <v>1.0</v>
      </c>
      <c r="D446" s="87" t="s">
        <v>204</v>
      </c>
      <c r="E446" s="89">
        <v>0.0</v>
      </c>
      <c r="F446" s="89">
        <v>0.114</v>
      </c>
      <c r="G446" s="89">
        <v>0.05</v>
      </c>
      <c r="H446" s="87" t="s">
        <v>226</v>
      </c>
      <c r="I446" s="90">
        <f t="shared" si="1"/>
        <v>1.28</v>
      </c>
      <c r="J446" s="81">
        <f t="shared" si="2"/>
        <v>0.4385964912</v>
      </c>
    </row>
    <row r="447">
      <c r="A447" s="88">
        <v>44665.0</v>
      </c>
      <c r="B447" s="89">
        <v>2381.0</v>
      </c>
      <c r="C447" s="89">
        <v>3.0</v>
      </c>
      <c r="D447" s="87" t="s">
        <v>204</v>
      </c>
      <c r="E447" s="89">
        <v>1.0</v>
      </c>
      <c r="F447" s="89">
        <v>0.2095</v>
      </c>
      <c r="G447" s="89">
        <v>0.0918</v>
      </c>
      <c r="H447" s="87" t="s">
        <v>226</v>
      </c>
      <c r="I447" s="90">
        <f t="shared" si="1"/>
        <v>1.282135076</v>
      </c>
      <c r="J447" s="81">
        <f t="shared" si="2"/>
        <v>0.4381861575</v>
      </c>
    </row>
    <row r="448">
      <c r="A448" s="88">
        <v>44665.0</v>
      </c>
      <c r="B448" s="89">
        <v>2005.0</v>
      </c>
      <c r="C448" s="89">
        <v>1.0</v>
      </c>
      <c r="D448" s="87" t="s">
        <v>204</v>
      </c>
      <c r="E448" s="89">
        <v>0.0</v>
      </c>
      <c r="F448" s="89">
        <v>0.3585</v>
      </c>
      <c r="G448" s="89">
        <v>0.1569</v>
      </c>
      <c r="H448" s="87" t="s">
        <v>226</v>
      </c>
      <c r="I448" s="90">
        <f t="shared" si="1"/>
        <v>1.284894837</v>
      </c>
      <c r="J448" s="81">
        <f t="shared" si="2"/>
        <v>0.4376569038</v>
      </c>
    </row>
    <row r="449">
      <c r="A449" s="88">
        <v>44665.0</v>
      </c>
      <c r="B449" s="89">
        <v>2384.0</v>
      </c>
      <c r="C449" s="89">
        <v>3.0</v>
      </c>
      <c r="D449" s="87" t="s">
        <v>204</v>
      </c>
      <c r="E449" s="89">
        <v>0.0</v>
      </c>
      <c r="F449" s="89">
        <v>0.1618</v>
      </c>
      <c r="G449" s="89">
        <v>0.0706</v>
      </c>
      <c r="H449" s="87" t="s">
        <v>226</v>
      </c>
      <c r="I449" s="90">
        <f t="shared" si="1"/>
        <v>1.291784703</v>
      </c>
      <c r="J449" s="81">
        <f t="shared" si="2"/>
        <v>0.4363411619</v>
      </c>
    </row>
    <row r="450">
      <c r="A450" s="88">
        <v>44665.0</v>
      </c>
      <c r="B450" s="89">
        <v>2384.0</v>
      </c>
      <c r="C450" s="89">
        <v>1.0</v>
      </c>
      <c r="D450" s="87" t="s">
        <v>204</v>
      </c>
      <c r="E450" s="89">
        <v>0.0</v>
      </c>
      <c r="F450" s="89">
        <v>0.1577</v>
      </c>
      <c r="G450" s="89">
        <v>0.0688</v>
      </c>
      <c r="H450" s="87" t="s">
        <v>226</v>
      </c>
      <c r="I450" s="90">
        <f t="shared" si="1"/>
        <v>1.292151163</v>
      </c>
      <c r="J450" s="81">
        <f t="shared" si="2"/>
        <v>0.4362714014</v>
      </c>
    </row>
    <row r="451">
      <c r="A451" s="88">
        <v>44665.0</v>
      </c>
      <c r="B451" s="89">
        <v>2028.0</v>
      </c>
      <c r="C451" s="89">
        <v>1.0</v>
      </c>
      <c r="D451" s="87" t="s">
        <v>204</v>
      </c>
      <c r="E451" s="89">
        <v>1.0</v>
      </c>
      <c r="F451" s="89">
        <v>0.1298</v>
      </c>
      <c r="G451" s="89">
        <v>0.0566</v>
      </c>
      <c r="H451" s="87" t="s">
        <v>226</v>
      </c>
      <c r="I451" s="90">
        <f t="shared" si="1"/>
        <v>1.293286219</v>
      </c>
      <c r="J451" s="81">
        <f t="shared" si="2"/>
        <v>0.43605547</v>
      </c>
    </row>
    <row r="452">
      <c r="A452" s="88">
        <v>44665.0</v>
      </c>
      <c r="B452" s="89">
        <v>2027.0</v>
      </c>
      <c r="C452" s="89">
        <v>1.0</v>
      </c>
      <c r="D452" s="87" t="s">
        <v>204</v>
      </c>
      <c r="E452" s="89">
        <v>0.0</v>
      </c>
      <c r="F452" s="89">
        <v>0.2056</v>
      </c>
      <c r="G452" s="89">
        <v>0.0895</v>
      </c>
      <c r="H452" s="87" t="s">
        <v>226</v>
      </c>
      <c r="I452" s="90">
        <f t="shared" si="1"/>
        <v>1.297206704</v>
      </c>
      <c r="J452" s="81">
        <f t="shared" si="2"/>
        <v>0.435311284</v>
      </c>
    </row>
    <row r="453">
      <c r="A453" s="88">
        <v>44665.0</v>
      </c>
      <c r="B453" s="89">
        <v>1478.0</v>
      </c>
      <c r="C453" s="89">
        <v>1.0</v>
      </c>
      <c r="D453" s="87" t="s">
        <v>205</v>
      </c>
      <c r="E453" s="89">
        <v>0.0</v>
      </c>
      <c r="F453" s="89">
        <v>1.2112</v>
      </c>
      <c r="G453" s="89">
        <v>0.5249</v>
      </c>
      <c r="H453" s="87" t="s">
        <v>226</v>
      </c>
      <c r="I453" s="90">
        <f t="shared" si="1"/>
        <v>1.30748714</v>
      </c>
      <c r="J453" s="81">
        <f t="shared" si="2"/>
        <v>0.4333718626</v>
      </c>
    </row>
    <row r="454">
      <c r="A454" s="88">
        <v>44665.0</v>
      </c>
      <c r="B454" s="89">
        <v>2026.0</v>
      </c>
      <c r="C454" s="89">
        <v>2.0</v>
      </c>
      <c r="D454" s="87" t="s">
        <v>204</v>
      </c>
      <c r="E454" s="89">
        <v>0.0</v>
      </c>
      <c r="F454" s="89">
        <v>0.1392</v>
      </c>
      <c r="G454" s="89">
        <v>0.0602</v>
      </c>
      <c r="H454" s="87" t="s">
        <v>226</v>
      </c>
      <c r="I454" s="90">
        <f t="shared" si="1"/>
        <v>1.312292359</v>
      </c>
      <c r="J454" s="81">
        <f t="shared" si="2"/>
        <v>0.4324712644</v>
      </c>
    </row>
    <row r="455">
      <c r="A455" s="88">
        <v>44665.0</v>
      </c>
      <c r="B455" s="89">
        <v>2009.0</v>
      </c>
      <c r="C455" s="89">
        <v>1.0</v>
      </c>
      <c r="D455" s="87" t="s">
        <v>204</v>
      </c>
      <c r="E455" s="89">
        <v>0.0</v>
      </c>
      <c r="F455" s="89">
        <v>0.1882</v>
      </c>
      <c r="G455" s="89">
        <v>0.0813</v>
      </c>
      <c r="H455" s="87" t="s">
        <v>226</v>
      </c>
      <c r="I455" s="90">
        <f t="shared" si="1"/>
        <v>1.314883149</v>
      </c>
      <c r="J455" s="81">
        <f t="shared" si="2"/>
        <v>0.4319872476</v>
      </c>
    </row>
    <row r="456">
      <c r="A456" s="88">
        <v>44665.0</v>
      </c>
      <c r="B456" s="89">
        <v>2026.0</v>
      </c>
      <c r="C456" s="89">
        <v>1.0</v>
      </c>
      <c r="D456" s="87" t="s">
        <v>204</v>
      </c>
      <c r="E456" s="89">
        <v>0.0</v>
      </c>
      <c r="F456" s="89">
        <v>0.205</v>
      </c>
      <c r="G456" s="89">
        <v>0.0885</v>
      </c>
      <c r="H456" s="87" t="s">
        <v>226</v>
      </c>
      <c r="I456" s="90">
        <f t="shared" si="1"/>
        <v>1.316384181</v>
      </c>
      <c r="J456" s="81">
        <f t="shared" si="2"/>
        <v>0.4317073171</v>
      </c>
    </row>
    <row r="457">
      <c r="A457" s="88">
        <v>44665.0</v>
      </c>
      <c r="B457" s="89">
        <v>2031.0</v>
      </c>
      <c r="C457" s="89">
        <v>1.0</v>
      </c>
      <c r="D457" s="87" t="s">
        <v>204</v>
      </c>
      <c r="E457" s="89">
        <v>0.0</v>
      </c>
      <c r="F457" s="89">
        <v>0.41</v>
      </c>
      <c r="G457" s="89">
        <v>0.1766</v>
      </c>
      <c r="H457" s="87" t="s">
        <v>226</v>
      </c>
      <c r="I457" s="90">
        <f t="shared" si="1"/>
        <v>1.321630804</v>
      </c>
      <c r="J457" s="81">
        <f t="shared" si="2"/>
        <v>0.4307317073</v>
      </c>
    </row>
    <row r="458">
      <c r="A458" s="88">
        <v>44665.0</v>
      </c>
      <c r="B458" s="89">
        <v>2007.0</v>
      </c>
      <c r="C458" s="89">
        <v>1.0</v>
      </c>
      <c r="D458" s="87" t="s">
        <v>204</v>
      </c>
      <c r="E458" s="89">
        <v>0.0</v>
      </c>
      <c r="F458" s="89">
        <v>0.1605</v>
      </c>
      <c r="G458" s="89">
        <v>0.0691</v>
      </c>
      <c r="H458" s="87" t="s">
        <v>226</v>
      </c>
      <c r="I458" s="90">
        <f t="shared" si="1"/>
        <v>1.322720695</v>
      </c>
      <c r="J458" s="81">
        <f t="shared" si="2"/>
        <v>0.430529595</v>
      </c>
    </row>
    <row r="459">
      <c r="A459" s="88">
        <v>44665.0</v>
      </c>
      <c r="B459" s="89">
        <v>2351.0</v>
      </c>
      <c r="C459" s="89">
        <v>2.0</v>
      </c>
      <c r="D459" s="87" t="s">
        <v>204</v>
      </c>
      <c r="E459" s="89">
        <v>0.0</v>
      </c>
      <c r="F459" s="89">
        <v>0.0184</v>
      </c>
      <c r="G459" s="89">
        <v>0.0079</v>
      </c>
      <c r="H459" s="87" t="s">
        <v>226</v>
      </c>
      <c r="I459" s="90">
        <f t="shared" si="1"/>
        <v>1.329113924</v>
      </c>
      <c r="J459" s="81">
        <f t="shared" si="2"/>
        <v>0.4293478261</v>
      </c>
    </row>
    <row r="460">
      <c r="A460" s="88">
        <v>44665.0</v>
      </c>
      <c r="B460" s="89">
        <v>2378.0</v>
      </c>
      <c r="C460" s="89">
        <v>2.0</v>
      </c>
      <c r="D460" s="87" t="s">
        <v>204</v>
      </c>
      <c r="E460" s="89">
        <v>1.0</v>
      </c>
      <c r="F460" s="89">
        <v>0.2237</v>
      </c>
      <c r="G460" s="89">
        <v>0.0959</v>
      </c>
      <c r="H460" s="87" t="s">
        <v>226</v>
      </c>
      <c r="I460" s="90">
        <f t="shared" si="1"/>
        <v>1.332638165</v>
      </c>
      <c r="J460" s="81">
        <f t="shared" si="2"/>
        <v>0.4286991506</v>
      </c>
    </row>
    <row r="461">
      <c r="A461" s="88">
        <v>44665.0</v>
      </c>
      <c r="B461" s="89">
        <v>1478.0</v>
      </c>
      <c r="C461" s="89">
        <v>1.0</v>
      </c>
      <c r="D461" s="87" t="s">
        <v>204</v>
      </c>
      <c r="E461" s="89">
        <v>1.0</v>
      </c>
      <c r="F461" s="89">
        <v>0.2088</v>
      </c>
      <c r="G461" s="89">
        <v>0.0893</v>
      </c>
      <c r="H461" s="87" t="s">
        <v>226</v>
      </c>
      <c r="I461" s="90">
        <f t="shared" si="1"/>
        <v>1.33818589</v>
      </c>
      <c r="J461" s="81">
        <f t="shared" si="2"/>
        <v>0.4276819923</v>
      </c>
    </row>
    <row r="462">
      <c r="A462" s="88">
        <v>44665.0</v>
      </c>
      <c r="B462" s="89">
        <v>2004.0</v>
      </c>
      <c r="C462" s="89">
        <v>1.0</v>
      </c>
      <c r="D462" s="87" t="s">
        <v>204</v>
      </c>
      <c r="E462" s="89">
        <v>0.0</v>
      </c>
      <c r="F462" s="89">
        <v>0.245</v>
      </c>
      <c r="G462" s="89">
        <v>0.1046</v>
      </c>
      <c r="H462" s="87" t="s">
        <v>226</v>
      </c>
      <c r="I462" s="90">
        <f t="shared" si="1"/>
        <v>1.342256214</v>
      </c>
      <c r="J462" s="81">
        <f t="shared" si="2"/>
        <v>0.4269387755</v>
      </c>
    </row>
    <row r="463">
      <c r="A463" s="88">
        <v>44665.0</v>
      </c>
      <c r="B463" s="89">
        <v>2367.0</v>
      </c>
      <c r="C463" s="89">
        <v>1.0</v>
      </c>
      <c r="D463" s="87" t="s">
        <v>204</v>
      </c>
      <c r="E463" s="89">
        <v>0.0</v>
      </c>
      <c r="F463" s="89">
        <v>0.0274</v>
      </c>
      <c r="G463" s="89">
        <v>0.0116</v>
      </c>
      <c r="H463" s="87" t="s">
        <v>226</v>
      </c>
      <c r="I463" s="90">
        <f t="shared" si="1"/>
        <v>1.362068966</v>
      </c>
      <c r="J463" s="81">
        <f t="shared" si="2"/>
        <v>0.4233576642</v>
      </c>
    </row>
    <row r="464">
      <c r="A464" s="88">
        <v>44665.0</v>
      </c>
      <c r="B464" s="89">
        <v>2351.0</v>
      </c>
      <c r="C464" s="89">
        <v>1.0</v>
      </c>
      <c r="D464" s="87" t="s">
        <v>204</v>
      </c>
      <c r="E464" s="89">
        <v>1.0</v>
      </c>
      <c r="F464" s="89">
        <v>0.0781</v>
      </c>
      <c r="G464" s="89">
        <v>0.033</v>
      </c>
      <c r="H464" s="87" t="s">
        <v>226</v>
      </c>
      <c r="I464" s="90">
        <f t="shared" si="1"/>
        <v>1.366666667</v>
      </c>
      <c r="J464" s="81">
        <f t="shared" si="2"/>
        <v>0.4225352113</v>
      </c>
    </row>
    <row r="465">
      <c r="A465" s="88">
        <v>44665.0</v>
      </c>
      <c r="B465" s="89">
        <v>2004.0</v>
      </c>
      <c r="C465" s="89">
        <v>2.0</v>
      </c>
      <c r="D465" s="87" t="s">
        <v>204</v>
      </c>
      <c r="E465" s="89">
        <v>0.0</v>
      </c>
      <c r="F465" s="89">
        <v>0.2386</v>
      </c>
      <c r="G465" s="89">
        <v>0.1002</v>
      </c>
      <c r="H465" s="87" t="s">
        <v>226</v>
      </c>
      <c r="I465" s="90">
        <f t="shared" si="1"/>
        <v>1.381237525</v>
      </c>
      <c r="J465" s="81">
        <f t="shared" si="2"/>
        <v>0.4199497066</v>
      </c>
    </row>
    <row r="466">
      <c r="A466" s="88">
        <v>44665.0</v>
      </c>
      <c r="B466" s="89">
        <v>2381.0</v>
      </c>
      <c r="C466" s="89">
        <v>3.0</v>
      </c>
      <c r="D466" s="87" t="s">
        <v>204</v>
      </c>
      <c r="E466" s="89">
        <v>1.0</v>
      </c>
      <c r="F466" s="89">
        <v>0.2117</v>
      </c>
      <c r="G466" s="89">
        <v>0.0885</v>
      </c>
      <c r="H466" s="87" t="s">
        <v>226</v>
      </c>
      <c r="I466" s="90">
        <f t="shared" si="1"/>
        <v>1.392090395</v>
      </c>
      <c r="J466" s="81">
        <f t="shared" si="2"/>
        <v>0.4180444025</v>
      </c>
    </row>
    <row r="467">
      <c r="A467" s="88">
        <v>44665.0</v>
      </c>
      <c r="B467" s="89">
        <v>2369.0</v>
      </c>
      <c r="C467" s="89">
        <v>2.0</v>
      </c>
      <c r="D467" s="87" t="s">
        <v>204</v>
      </c>
      <c r="E467" s="89">
        <v>0.0</v>
      </c>
      <c r="F467" s="89">
        <v>0.1252</v>
      </c>
      <c r="G467" s="89">
        <v>0.052</v>
      </c>
      <c r="H467" s="87" t="s">
        <v>226</v>
      </c>
      <c r="I467" s="90">
        <f t="shared" si="1"/>
        <v>1.407692308</v>
      </c>
      <c r="J467" s="81">
        <f t="shared" si="2"/>
        <v>0.4153354633</v>
      </c>
    </row>
    <row r="468">
      <c r="A468" s="88">
        <v>44665.0</v>
      </c>
      <c r="B468" s="89">
        <v>2020.0</v>
      </c>
      <c r="C468" s="89">
        <v>1.0</v>
      </c>
      <c r="D468" s="87" t="s">
        <v>204</v>
      </c>
      <c r="E468" s="89">
        <v>0.0</v>
      </c>
      <c r="F468" s="89">
        <v>0.0499</v>
      </c>
      <c r="G468" s="89">
        <v>0.0206</v>
      </c>
      <c r="H468" s="87" t="s">
        <v>226</v>
      </c>
      <c r="I468" s="90">
        <f t="shared" si="1"/>
        <v>1.422330097</v>
      </c>
      <c r="J468" s="81">
        <f t="shared" si="2"/>
        <v>0.4128256513</v>
      </c>
    </row>
    <row r="469">
      <c r="A469" s="88">
        <v>44665.0</v>
      </c>
      <c r="B469" s="89">
        <v>2382.0</v>
      </c>
      <c r="C469" s="89">
        <v>1.0</v>
      </c>
      <c r="D469" s="87" t="s">
        <v>204</v>
      </c>
      <c r="E469" s="89">
        <v>0.0</v>
      </c>
      <c r="F469" s="89">
        <v>0.0442</v>
      </c>
      <c r="G469" s="89">
        <v>0.0182</v>
      </c>
      <c r="H469" s="87" t="s">
        <v>226</v>
      </c>
      <c r="I469" s="90">
        <f t="shared" si="1"/>
        <v>1.428571429</v>
      </c>
      <c r="J469" s="81">
        <f t="shared" si="2"/>
        <v>0.4117647059</v>
      </c>
    </row>
    <row r="470">
      <c r="A470" s="88">
        <v>44665.0</v>
      </c>
      <c r="B470" s="89">
        <v>2021.0</v>
      </c>
      <c r="C470" s="89">
        <v>1.0</v>
      </c>
      <c r="D470" s="87" t="s">
        <v>204</v>
      </c>
      <c r="E470" s="89">
        <v>0.0</v>
      </c>
      <c r="F470" s="89">
        <v>0.1095</v>
      </c>
      <c r="G470" s="89">
        <v>0.045</v>
      </c>
      <c r="H470" s="87" t="s">
        <v>226</v>
      </c>
      <c r="I470" s="90">
        <f t="shared" si="1"/>
        <v>1.433333333</v>
      </c>
      <c r="J470" s="81">
        <f t="shared" si="2"/>
        <v>0.4109589041</v>
      </c>
    </row>
    <row r="471">
      <c r="A471" s="88">
        <v>44665.0</v>
      </c>
      <c r="B471" s="89">
        <v>2367.0</v>
      </c>
      <c r="C471" s="89">
        <v>2.0</v>
      </c>
      <c r="D471" s="87" t="s">
        <v>204</v>
      </c>
      <c r="E471" s="89">
        <v>0.0</v>
      </c>
      <c r="F471" s="89">
        <v>0.0547</v>
      </c>
      <c r="G471" s="89">
        <v>0.0223</v>
      </c>
      <c r="H471" s="87" t="s">
        <v>226</v>
      </c>
      <c r="I471" s="90">
        <f t="shared" si="1"/>
        <v>1.452914798</v>
      </c>
      <c r="J471" s="81">
        <f t="shared" si="2"/>
        <v>0.407678245</v>
      </c>
    </row>
    <row r="472">
      <c r="A472" s="88">
        <v>44665.0</v>
      </c>
      <c r="B472" s="89">
        <v>2381.0</v>
      </c>
      <c r="C472" s="89">
        <v>1.0</v>
      </c>
      <c r="D472" s="87" t="s">
        <v>204</v>
      </c>
      <c r="E472" s="89">
        <v>0.0</v>
      </c>
      <c r="F472" s="89">
        <v>0.1252</v>
      </c>
      <c r="G472" s="89">
        <v>0.0508</v>
      </c>
      <c r="H472" s="87" t="s">
        <v>226</v>
      </c>
      <c r="I472" s="90">
        <f t="shared" si="1"/>
        <v>1.464566929</v>
      </c>
      <c r="J472" s="81">
        <f t="shared" si="2"/>
        <v>0.4057507987</v>
      </c>
    </row>
    <row r="473">
      <c r="A473" s="88">
        <v>44665.0</v>
      </c>
      <c r="B473" s="89">
        <v>2381.0</v>
      </c>
      <c r="C473" s="89">
        <v>2.0</v>
      </c>
      <c r="D473" s="87" t="s">
        <v>204</v>
      </c>
      <c r="E473" s="89">
        <v>0.0</v>
      </c>
      <c r="F473" s="89">
        <v>0.1745</v>
      </c>
      <c r="G473" s="89">
        <v>0.0706</v>
      </c>
      <c r="H473" s="87" t="s">
        <v>226</v>
      </c>
      <c r="I473" s="90">
        <f t="shared" si="1"/>
        <v>1.471671388</v>
      </c>
      <c r="J473" s="81">
        <f t="shared" si="2"/>
        <v>0.4045845272</v>
      </c>
    </row>
    <row r="474">
      <c r="A474" s="88">
        <v>44665.0</v>
      </c>
      <c r="B474" s="89">
        <v>2020.0</v>
      </c>
      <c r="C474" s="89">
        <v>2.0</v>
      </c>
      <c r="D474" s="87" t="s">
        <v>204</v>
      </c>
      <c r="E474" s="89">
        <v>0.0</v>
      </c>
      <c r="F474" s="89">
        <v>0.0752</v>
      </c>
      <c r="G474" s="89">
        <v>0.0303</v>
      </c>
      <c r="H474" s="87" t="s">
        <v>226</v>
      </c>
      <c r="I474" s="90">
        <f t="shared" si="1"/>
        <v>1.481848185</v>
      </c>
      <c r="J474" s="81">
        <f t="shared" si="2"/>
        <v>0.4029255319</v>
      </c>
    </row>
    <row r="475">
      <c r="A475" s="88">
        <v>44665.0</v>
      </c>
      <c r="B475" s="89">
        <v>2384.0</v>
      </c>
      <c r="C475" s="89">
        <v>2.0</v>
      </c>
      <c r="D475" s="87" t="s">
        <v>204</v>
      </c>
      <c r="E475" s="89">
        <v>0.0</v>
      </c>
      <c r="F475" s="89">
        <v>0.1334</v>
      </c>
      <c r="G475" s="89">
        <v>0.0536</v>
      </c>
      <c r="H475" s="87" t="s">
        <v>226</v>
      </c>
      <c r="I475" s="90">
        <f t="shared" si="1"/>
        <v>1.48880597</v>
      </c>
      <c r="J475" s="81">
        <f t="shared" si="2"/>
        <v>0.4017991004</v>
      </c>
    </row>
    <row r="476">
      <c r="A476" s="88">
        <v>44665.0</v>
      </c>
      <c r="B476" s="89">
        <v>2379.0</v>
      </c>
      <c r="C476" s="89">
        <v>2.0</v>
      </c>
      <c r="D476" s="87" t="s">
        <v>204</v>
      </c>
      <c r="E476" s="89">
        <v>0.0</v>
      </c>
      <c r="F476" s="89">
        <v>0.0776</v>
      </c>
      <c r="G476" s="89">
        <v>0.0309</v>
      </c>
      <c r="H476" s="87" t="s">
        <v>226</v>
      </c>
      <c r="I476" s="90">
        <f t="shared" si="1"/>
        <v>1.511326861</v>
      </c>
      <c r="J476" s="81">
        <f t="shared" si="2"/>
        <v>0.3981958763</v>
      </c>
    </row>
    <row r="477">
      <c r="A477" s="88">
        <v>44665.0</v>
      </c>
      <c r="B477" s="89">
        <v>2011.0</v>
      </c>
      <c r="C477" s="89">
        <v>1.0</v>
      </c>
      <c r="D477" s="87" t="s">
        <v>204</v>
      </c>
      <c r="E477" s="89">
        <v>0.0</v>
      </c>
      <c r="F477" s="89">
        <v>0.12</v>
      </c>
      <c r="G477" s="89">
        <v>0.0477</v>
      </c>
      <c r="H477" s="87" t="s">
        <v>226</v>
      </c>
      <c r="I477" s="90">
        <f t="shared" si="1"/>
        <v>1.51572327</v>
      </c>
      <c r="J477" s="81">
        <f t="shared" si="2"/>
        <v>0.3975</v>
      </c>
    </row>
    <row r="478">
      <c r="A478" s="88">
        <v>44665.0</v>
      </c>
      <c r="B478" s="89">
        <v>2381.0</v>
      </c>
      <c r="C478" s="89">
        <v>2.0</v>
      </c>
      <c r="D478" s="87" t="s">
        <v>204</v>
      </c>
      <c r="E478" s="89">
        <v>0.0</v>
      </c>
      <c r="F478" s="89">
        <v>0.1122</v>
      </c>
      <c r="G478" s="89">
        <v>0.0443</v>
      </c>
      <c r="H478" s="87" t="s">
        <v>226</v>
      </c>
      <c r="I478" s="90">
        <f t="shared" si="1"/>
        <v>1.532731377</v>
      </c>
      <c r="J478" s="81">
        <f t="shared" si="2"/>
        <v>0.3948306595</v>
      </c>
    </row>
    <row r="479">
      <c r="A479" s="88">
        <v>44665.0</v>
      </c>
      <c r="B479" s="89">
        <v>2012.0</v>
      </c>
      <c r="C479" s="89">
        <v>3.0</v>
      </c>
      <c r="D479" s="87" t="s">
        <v>204</v>
      </c>
      <c r="E479" s="89">
        <v>1.0</v>
      </c>
      <c r="F479" s="89">
        <v>0.0729</v>
      </c>
      <c r="G479" s="89">
        <v>0.0287</v>
      </c>
      <c r="H479" s="87" t="s">
        <v>226</v>
      </c>
      <c r="I479" s="90">
        <f t="shared" si="1"/>
        <v>1.540069686</v>
      </c>
      <c r="J479" s="81">
        <f t="shared" si="2"/>
        <v>0.3936899863</v>
      </c>
    </row>
    <row r="480">
      <c r="A480" s="88">
        <v>44665.0</v>
      </c>
      <c r="B480" s="89">
        <v>2010.0</v>
      </c>
      <c r="C480" s="89">
        <v>1.0</v>
      </c>
      <c r="D480" s="87" t="s">
        <v>204</v>
      </c>
      <c r="E480" s="89">
        <v>0.0</v>
      </c>
      <c r="F480" s="89">
        <v>0.2166</v>
      </c>
      <c r="G480" s="89">
        <v>0.0852</v>
      </c>
      <c r="H480" s="87" t="s">
        <v>226</v>
      </c>
      <c r="I480" s="90">
        <f t="shared" si="1"/>
        <v>1.542253521</v>
      </c>
      <c r="J480" s="81">
        <f t="shared" si="2"/>
        <v>0.3933518006</v>
      </c>
    </row>
    <row r="481">
      <c r="A481" s="88">
        <v>44665.0</v>
      </c>
      <c r="B481" s="89">
        <v>2012.0</v>
      </c>
      <c r="C481" s="89">
        <v>2.0</v>
      </c>
      <c r="D481" s="87" t="s">
        <v>205</v>
      </c>
      <c r="E481" s="89">
        <v>0.0</v>
      </c>
      <c r="F481" s="89">
        <v>0.0829</v>
      </c>
      <c r="G481" s="89">
        <v>0.0323</v>
      </c>
      <c r="H481" s="87" t="s">
        <v>226</v>
      </c>
      <c r="I481" s="90">
        <f t="shared" si="1"/>
        <v>1.566563467</v>
      </c>
      <c r="J481" s="81">
        <f t="shared" si="2"/>
        <v>0.3896260555</v>
      </c>
    </row>
    <row r="482">
      <c r="A482" s="88">
        <v>44665.0</v>
      </c>
      <c r="B482" s="89">
        <v>2010.0</v>
      </c>
      <c r="C482" s="89">
        <v>2.0</v>
      </c>
      <c r="D482" s="87" t="s">
        <v>204</v>
      </c>
      <c r="E482" s="89">
        <v>0.0</v>
      </c>
      <c r="F482" s="89">
        <v>0.2608</v>
      </c>
      <c r="G482" s="89">
        <v>0.1014</v>
      </c>
      <c r="H482" s="87" t="s">
        <v>226</v>
      </c>
      <c r="I482" s="90">
        <f t="shared" si="1"/>
        <v>1.57199211</v>
      </c>
      <c r="J482" s="81">
        <f t="shared" si="2"/>
        <v>0.388803681</v>
      </c>
    </row>
    <row r="483">
      <c r="A483" s="88">
        <v>44665.0</v>
      </c>
      <c r="B483" s="89">
        <v>2351.0</v>
      </c>
      <c r="C483" s="89">
        <v>1.0</v>
      </c>
      <c r="D483" s="87" t="s">
        <v>205</v>
      </c>
      <c r="E483" s="89">
        <v>0.0</v>
      </c>
      <c r="F483" s="89">
        <v>0.9838</v>
      </c>
      <c r="G483" s="89">
        <v>0.3818</v>
      </c>
      <c r="H483" s="87" t="s">
        <v>226</v>
      </c>
      <c r="I483" s="90">
        <f t="shared" si="1"/>
        <v>1.57674175</v>
      </c>
      <c r="J483" s="81">
        <f t="shared" si="2"/>
        <v>0.3880870096</v>
      </c>
    </row>
    <row r="484">
      <c r="A484" s="88">
        <v>44665.0</v>
      </c>
      <c r="B484" s="89">
        <v>2025.0</v>
      </c>
      <c r="C484" s="89">
        <v>1.0</v>
      </c>
      <c r="D484" s="87" t="s">
        <v>204</v>
      </c>
      <c r="E484" s="89">
        <v>0.0</v>
      </c>
      <c r="F484" s="89">
        <v>0.0701</v>
      </c>
      <c r="G484" s="89">
        <v>0.0272</v>
      </c>
      <c r="H484" s="87" t="s">
        <v>226</v>
      </c>
      <c r="I484" s="90">
        <f t="shared" si="1"/>
        <v>1.577205882</v>
      </c>
      <c r="J484" s="81">
        <f t="shared" si="2"/>
        <v>0.3880171184</v>
      </c>
    </row>
    <row r="485">
      <c r="A485" s="88">
        <v>44665.0</v>
      </c>
      <c r="B485" s="89">
        <v>2012.0</v>
      </c>
      <c r="C485" s="89">
        <v>1.0</v>
      </c>
      <c r="D485" s="87" t="s">
        <v>204</v>
      </c>
      <c r="E485" s="89">
        <v>0.0</v>
      </c>
      <c r="F485" s="89">
        <v>0.0849</v>
      </c>
      <c r="G485" s="89">
        <v>0.0329</v>
      </c>
      <c r="H485" s="87" t="s">
        <v>226</v>
      </c>
      <c r="I485" s="90">
        <f t="shared" si="1"/>
        <v>1.580547112</v>
      </c>
      <c r="J485" s="81">
        <f t="shared" si="2"/>
        <v>0.3875147232</v>
      </c>
    </row>
    <row r="486">
      <c r="A486" s="88">
        <v>44665.0</v>
      </c>
      <c r="B486" s="89">
        <v>2377.0</v>
      </c>
      <c r="C486" s="89">
        <v>1.0</v>
      </c>
      <c r="D486" s="87" t="s">
        <v>204</v>
      </c>
      <c r="E486" s="89">
        <v>0.0</v>
      </c>
      <c r="F486" s="89">
        <v>0.1186</v>
      </c>
      <c r="G486" s="89">
        <v>0.0458</v>
      </c>
      <c r="H486" s="87" t="s">
        <v>226</v>
      </c>
      <c r="I486" s="90">
        <f t="shared" si="1"/>
        <v>1.589519651</v>
      </c>
      <c r="J486" s="81">
        <f t="shared" si="2"/>
        <v>0.3861720067</v>
      </c>
    </row>
    <row r="487">
      <c r="A487" s="88">
        <v>44665.0</v>
      </c>
      <c r="B487" s="89">
        <v>2013.0</v>
      </c>
      <c r="C487" s="89">
        <v>2.0</v>
      </c>
      <c r="D487" s="87" t="s">
        <v>205</v>
      </c>
      <c r="E487" s="89">
        <v>1.0</v>
      </c>
      <c r="F487" s="89">
        <v>1.1168</v>
      </c>
      <c r="G487" s="89">
        <v>0.4278</v>
      </c>
      <c r="H487" s="87" t="s">
        <v>226</v>
      </c>
      <c r="I487" s="90">
        <f t="shared" si="1"/>
        <v>1.610565685</v>
      </c>
      <c r="J487" s="81">
        <f t="shared" si="2"/>
        <v>0.3830587393</v>
      </c>
    </row>
    <row r="488">
      <c r="A488" s="88">
        <v>44665.0</v>
      </c>
      <c r="B488" s="89">
        <v>2013.0</v>
      </c>
      <c r="C488" s="89">
        <v>1.0</v>
      </c>
      <c r="D488" s="87" t="s">
        <v>205</v>
      </c>
      <c r="E488" s="89">
        <v>0.0</v>
      </c>
      <c r="F488" s="89">
        <v>0.6987</v>
      </c>
      <c r="G488" s="89">
        <v>0.2676</v>
      </c>
      <c r="H488" s="87" t="s">
        <v>226</v>
      </c>
      <c r="I488" s="90">
        <f t="shared" si="1"/>
        <v>1.610986547</v>
      </c>
      <c r="J488" s="81">
        <f t="shared" si="2"/>
        <v>0.3829969944</v>
      </c>
    </row>
    <row r="489">
      <c r="A489" s="88">
        <v>44665.0</v>
      </c>
      <c r="B489" s="89">
        <v>2351.0</v>
      </c>
      <c r="C489" s="89">
        <v>3.0</v>
      </c>
      <c r="D489" s="87" t="s">
        <v>204</v>
      </c>
      <c r="E489" s="89">
        <v>0.0</v>
      </c>
      <c r="F489" s="89">
        <v>0.0245</v>
      </c>
      <c r="G489" s="89">
        <v>0.0091</v>
      </c>
      <c r="H489" s="87" t="s">
        <v>226</v>
      </c>
      <c r="I489" s="90">
        <f t="shared" si="1"/>
        <v>1.692307692</v>
      </c>
      <c r="J489" s="81">
        <f t="shared" si="2"/>
        <v>0.3714285714</v>
      </c>
    </row>
    <row r="490">
      <c r="A490" s="88">
        <v>44665.0</v>
      </c>
      <c r="B490" s="89">
        <v>2351.0</v>
      </c>
      <c r="C490" s="89">
        <v>1.0</v>
      </c>
      <c r="D490" s="87" t="s">
        <v>204</v>
      </c>
      <c r="E490" s="89">
        <v>0.0</v>
      </c>
      <c r="F490" s="89">
        <v>0.0371</v>
      </c>
      <c r="G490" s="89">
        <v>0.0137</v>
      </c>
      <c r="H490" s="87" t="s">
        <v>226</v>
      </c>
      <c r="I490" s="90">
        <f t="shared" si="1"/>
        <v>1.708029197</v>
      </c>
      <c r="J490" s="81">
        <f t="shared" si="2"/>
        <v>0.3692722372</v>
      </c>
    </row>
    <row r="491">
      <c r="A491" s="88">
        <v>44665.0</v>
      </c>
      <c r="B491" s="89">
        <v>2028.0</v>
      </c>
      <c r="C491" s="89">
        <v>1.0</v>
      </c>
      <c r="D491" s="87" t="s">
        <v>204</v>
      </c>
      <c r="E491" s="89">
        <v>0.0</v>
      </c>
      <c r="F491" s="89">
        <v>0.0498</v>
      </c>
      <c r="G491" s="89">
        <v>0.0176</v>
      </c>
      <c r="H491" s="87" t="s">
        <v>226</v>
      </c>
      <c r="I491" s="90">
        <f t="shared" si="1"/>
        <v>1.829545455</v>
      </c>
      <c r="J491" s="81">
        <f t="shared" si="2"/>
        <v>0.3534136546</v>
      </c>
    </row>
    <row r="492">
      <c r="A492" s="88">
        <v>44665.0</v>
      </c>
      <c r="B492" s="89">
        <v>1478.0</v>
      </c>
      <c r="C492" s="89">
        <v>1.0</v>
      </c>
      <c r="D492" s="87" t="s">
        <v>204</v>
      </c>
      <c r="E492" s="89">
        <v>0.0</v>
      </c>
      <c r="F492" s="89">
        <v>0.2612</v>
      </c>
      <c r="G492" s="89">
        <v>0.0918</v>
      </c>
      <c r="H492" s="87" t="s">
        <v>226</v>
      </c>
      <c r="I492" s="90">
        <f t="shared" si="1"/>
        <v>1.845315904</v>
      </c>
      <c r="J492" s="81">
        <f t="shared" si="2"/>
        <v>0.3514548239</v>
      </c>
    </row>
    <row r="493">
      <c r="A493" s="88">
        <v>44665.0</v>
      </c>
      <c r="B493" s="89">
        <v>2013.0</v>
      </c>
      <c r="C493" s="89">
        <v>1.0</v>
      </c>
      <c r="D493" s="87" t="s">
        <v>204</v>
      </c>
      <c r="E493" s="89">
        <v>0.0</v>
      </c>
      <c r="F493" s="89">
        <v>0.1073</v>
      </c>
      <c r="G493" s="89">
        <v>0.037</v>
      </c>
      <c r="H493" s="87" t="s">
        <v>226</v>
      </c>
      <c r="I493" s="90">
        <f t="shared" si="1"/>
        <v>1.9</v>
      </c>
      <c r="J493" s="81">
        <f t="shared" si="2"/>
        <v>0.3448275862</v>
      </c>
    </row>
    <row r="494">
      <c r="A494" s="88">
        <v>44665.0</v>
      </c>
      <c r="B494" s="89">
        <v>2351.0</v>
      </c>
      <c r="C494" s="89">
        <v>1.0</v>
      </c>
      <c r="D494" s="87" t="s">
        <v>204</v>
      </c>
      <c r="E494" s="89">
        <v>0.0</v>
      </c>
      <c r="F494" s="89">
        <v>0.0938</v>
      </c>
      <c r="G494" s="89">
        <v>0.0323</v>
      </c>
      <c r="H494" s="87" t="s">
        <v>226</v>
      </c>
      <c r="I494" s="90">
        <f t="shared" si="1"/>
        <v>1.904024768</v>
      </c>
      <c r="J494" s="81">
        <f t="shared" si="2"/>
        <v>0.3443496802</v>
      </c>
    </row>
    <row r="495">
      <c r="A495" s="88">
        <v>44665.0</v>
      </c>
      <c r="B495" s="89">
        <v>2350.0</v>
      </c>
      <c r="C495" s="89">
        <v>1.0</v>
      </c>
      <c r="D495" s="87" t="s">
        <v>205</v>
      </c>
      <c r="E495" s="89">
        <v>0.0</v>
      </c>
      <c r="F495" s="89">
        <v>0.047</v>
      </c>
      <c r="G495" s="89">
        <v>0.0155</v>
      </c>
      <c r="H495" s="87" t="s">
        <v>226</v>
      </c>
      <c r="I495" s="90">
        <f t="shared" si="1"/>
        <v>2.032258065</v>
      </c>
      <c r="J495" s="81">
        <f t="shared" si="2"/>
        <v>0.329787234</v>
      </c>
    </row>
    <row r="496">
      <c r="A496" s="88">
        <v>44665.0</v>
      </c>
      <c r="B496" s="89">
        <v>2380.0</v>
      </c>
      <c r="C496" s="89">
        <v>1.0</v>
      </c>
      <c r="D496" s="87" t="s">
        <v>204</v>
      </c>
      <c r="E496" s="89">
        <v>0.0</v>
      </c>
      <c r="F496" s="89">
        <v>0.0565</v>
      </c>
      <c r="G496" s="89">
        <v>0.0183</v>
      </c>
      <c r="H496" s="87" t="s">
        <v>226</v>
      </c>
      <c r="I496" s="90">
        <f t="shared" si="1"/>
        <v>2.087431694</v>
      </c>
      <c r="J496" s="81">
        <f t="shared" si="2"/>
        <v>0.3238938053</v>
      </c>
    </row>
    <row r="497">
      <c r="A497" s="88">
        <v>44665.0</v>
      </c>
      <c r="B497" s="89">
        <v>2350.0</v>
      </c>
      <c r="C497" s="89">
        <v>1.0</v>
      </c>
      <c r="D497" s="87" t="s">
        <v>204</v>
      </c>
      <c r="E497" s="89">
        <v>0.0</v>
      </c>
      <c r="F497" s="89">
        <v>0.4512</v>
      </c>
      <c r="G497" s="89">
        <v>0.1451</v>
      </c>
      <c r="H497" s="87" t="s">
        <v>226</v>
      </c>
      <c r="I497" s="90">
        <f t="shared" si="1"/>
        <v>2.1095796</v>
      </c>
      <c r="J497" s="81">
        <f t="shared" si="2"/>
        <v>0.3215868794</v>
      </c>
    </row>
    <row r="498">
      <c r="A498" s="88">
        <v>44665.0</v>
      </c>
      <c r="B498" s="89">
        <v>2383.0</v>
      </c>
      <c r="C498" s="89">
        <v>3.0</v>
      </c>
      <c r="D498" s="87" t="s">
        <v>204</v>
      </c>
      <c r="E498" s="89">
        <v>0.0</v>
      </c>
      <c r="F498" s="89">
        <v>0.2194</v>
      </c>
      <c r="G498" s="89">
        <v>0.0535</v>
      </c>
      <c r="H498" s="87" t="s">
        <v>226</v>
      </c>
      <c r="I498" s="90">
        <f t="shared" si="1"/>
        <v>3.100934579</v>
      </c>
      <c r="J498" s="81">
        <f t="shared" si="2"/>
        <v>0.2438468551</v>
      </c>
    </row>
    <row r="499">
      <c r="A499" s="88">
        <v>44665.0</v>
      </c>
      <c r="B499" s="89">
        <v>2013.0</v>
      </c>
      <c r="C499" s="89">
        <v>2.0</v>
      </c>
      <c r="D499" s="87" t="s">
        <v>204</v>
      </c>
      <c r="E499" s="89">
        <v>0.0</v>
      </c>
      <c r="F499" s="89">
        <v>2.6175</v>
      </c>
      <c r="G499" s="89">
        <v>0.1102</v>
      </c>
      <c r="H499" s="87" t="s">
        <v>226</v>
      </c>
      <c r="I499" s="90">
        <f t="shared" si="1"/>
        <v>22.7522686</v>
      </c>
      <c r="J499" s="81">
        <f t="shared" si="2"/>
        <v>0.04210124164</v>
      </c>
      <c r="K499" s="66">
        <v>1.0</v>
      </c>
    </row>
    <row r="500">
      <c r="A500" s="88">
        <v>44665.0</v>
      </c>
      <c r="B500" s="89">
        <v>2078.0</v>
      </c>
      <c r="C500" s="89">
        <v>1.0</v>
      </c>
      <c r="D500" s="87" t="s">
        <v>204</v>
      </c>
      <c r="E500" s="89">
        <v>0.0</v>
      </c>
      <c r="F500" s="89">
        <v>0.6644</v>
      </c>
      <c r="G500" s="89">
        <v>0.0257</v>
      </c>
      <c r="H500" s="87" t="s">
        <v>226</v>
      </c>
      <c r="I500" s="90">
        <f t="shared" si="1"/>
        <v>24.85214008</v>
      </c>
      <c r="J500" s="81">
        <f t="shared" si="2"/>
        <v>0.03868151716</v>
      </c>
      <c r="K500" s="66">
        <v>1.0</v>
      </c>
    </row>
    <row r="501">
      <c r="A501" s="88">
        <v>44684.0</v>
      </c>
      <c r="B501" s="89">
        <v>2384.0</v>
      </c>
      <c r="C501" s="89">
        <v>1.0</v>
      </c>
      <c r="D501" s="87" t="s">
        <v>204</v>
      </c>
      <c r="E501" s="89">
        <v>1.0</v>
      </c>
      <c r="F501" s="89">
        <v>0.6232</v>
      </c>
      <c r="G501" s="89">
        <v>0.3561</v>
      </c>
      <c r="H501" s="87" t="s">
        <v>230</v>
      </c>
      <c r="I501" s="90">
        <f t="shared" si="1"/>
        <v>0.750070205</v>
      </c>
      <c r="J501" s="81">
        <f t="shared" si="2"/>
        <v>0.5714056483</v>
      </c>
    </row>
    <row r="502">
      <c r="A502" s="88">
        <v>44684.0</v>
      </c>
      <c r="B502" s="89">
        <v>2384.0</v>
      </c>
      <c r="C502" s="89">
        <v>2.0</v>
      </c>
      <c r="D502" s="87" t="s">
        <v>204</v>
      </c>
      <c r="E502" s="89">
        <v>1.0</v>
      </c>
      <c r="F502" s="89">
        <v>0.1245</v>
      </c>
      <c r="G502" s="89">
        <v>0.0697</v>
      </c>
      <c r="H502" s="87" t="s">
        <v>230</v>
      </c>
      <c r="I502" s="90">
        <f t="shared" si="1"/>
        <v>0.7862266858</v>
      </c>
      <c r="J502" s="81">
        <f t="shared" si="2"/>
        <v>0.5598393574</v>
      </c>
    </row>
    <row r="503">
      <c r="A503" s="88">
        <v>44684.0</v>
      </c>
      <c r="B503" s="89">
        <v>2369.0</v>
      </c>
      <c r="C503" s="89">
        <v>2.0</v>
      </c>
      <c r="D503" s="87" t="s">
        <v>204</v>
      </c>
      <c r="E503" s="89">
        <v>1.0</v>
      </c>
      <c r="F503" s="89">
        <v>0.1445</v>
      </c>
      <c r="G503" s="89">
        <v>0.0805</v>
      </c>
      <c r="H503" s="87" t="s">
        <v>230</v>
      </c>
      <c r="I503" s="90">
        <f t="shared" si="1"/>
        <v>0.7950310559</v>
      </c>
      <c r="J503" s="81">
        <f t="shared" si="2"/>
        <v>0.5570934256</v>
      </c>
    </row>
    <row r="504">
      <c r="A504" s="88">
        <v>44684.0</v>
      </c>
      <c r="B504" s="89">
        <v>2009.0</v>
      </c>
      <c r="C504" s="89">
        <v>3.0</v>
      </c>
      <c r="D504" s="87" t="s">
        <v>204</v>
      </c>
      <c r="E504" s="89">
        <v>1.0</v>
      </c>
      <c r="F504" s="89">
        <v>0.3108</v>
      </c>
      <c r="G504" s="89">
        <v>0.1727</v>
      </c>
      <c r="H504" s="87" t="s">
        <v>230</v>
      </c>
      <c r="I504" s="90">
        <f t="shared" si="1"/>
        <v>0.7996525767</v>
      </c>
      <c r="J504" s="81">
        <f t="shared" si="2"/>
        <v>0.5556628057</v>
      </c>
    </row>
    <row r="505">
      <c r="A505" s="88">
        <v>44684.0</v>
      </c>
      <c r="B505" s="89">
        <v>2384.0</v>
      </c>
      <c r="C505" s="89">
        <v>1.0</v>
      </c>
      <c r="D505" s="87" t="s">
        <v>205</v>
      </c>
      <c r="E505" s="89">
        <v>0.0</v>
      </c>
      <c r="F505" s="89">
        <v>1.0126</v>
      </c>
      <c r="G505" s="89">
        <v>0.5578</v>
      </c>
      <c r="H505" s="87" t="s">
        <v>230</v>
      </c>
      <c r="I505" s="90">
        <f t="shared" si="1"/>
        <v>0.8153460022</v>
      </c>
      <c r="J505" s="81">
        <f t="shared" si="2"/>
        <v>0.5508591744</v>
      </c>
    </row>
    <row r="506">
      <c r="A506" s="88">
        <v>44684.0</v>
      </c>
      <c r="B506" s="89">
        <v>2364.0</v>
      </c>
      <c r="C506" s="89">
        <v>2.0</v>
      </c>
      <c r="D506" s="87" t="s">
        <v>204</v>
      </c>
      <c r="E506" s="89">
        <v>1.0</v>
      </c>
      <c r="F506" s="89">
        <v>0.1546</v>
      </c>
      <c r="G506" s="89">
        <v>0.0851</v>
      </c>
      <c r="H506" s="87" t="s">
        <v>230</v>
      </c>
      <c r="I506" s="90">
        <f t="shared" si="1"/>
        <v>0.8166862515</v>
      </c>
      <c r="J506" s="81">
        <f t="shared" si="2"/>
        <v>0.5504527814</v>
      </c>
    </row>
    <row r="507">
      <c r="A507" s="88">
        <v>44684.0</v>
      </c>
      <c r="B507" s="89">
        <v>2382.0</v>
      </c>
      <c r="C507" s="89">
        <v>2.0</v>
      </c>
      <c r="D507" s="87" t="s">
        <v>205</v>
      </c>
      <c r="E507" s="89">
        <v>0.0</v>
      </c>
      <c r="F507" s="89">
        <v>1.7716</v>
      </c>
      <c r="G507" s="89">
        <v>0.9747</v>
      </c>
      <c r="H507" s="87" t="s">
        <v>230</v>
      </c>
      <c r="I507" s="90">
        <f t="shared" si="1"/>
        <v>0.8175848979</v>
      </c>
      <c r="J507" s="81">
        <f t="shared" si="2"/>
        <v>0.5501806277</v>
      </c>
    </row>
    <row r="508">
      <c r="A508" s="88">
        <v>44684.0</v>
      </c>
      <c r="B508" s="89">
        <v>2369.0</v>
      </c>
      <c r="C508" s="89">
        <v>3.0</v>
      </c>
      <c r="D508" s="87" t="s">
        <v>204</v>
      </c>
      <c r="E508" s="89">
        <v>1.0</v>
      </c>
      <c r="F508" s="89">
        <v>0.0982</v>
      </c>
      <c r="G508" s="89">
        <v>0.054</v>
      </c>
      <c r="H508" s="87" t="s">
        <v>230</v>
      </c>
      <c r="I508" s="90">
        <f t="shared" si="1"/>
        <v>0.8185185185</v>
      </c>
      <c r="J508" s="81">
        <f t="shared" si="2"/>
        <v>0.549898167</v>
      </c>
    </row>
    <row r="509">
      <c r="A509" s="88">
        <v>44684.0</v>
      </c>
      <c r="B509" s="89">
        <v>2382.0</v>
      </c>
      <c r="C509" s="89">
        <v>3.0</v>
      </c>
      <c r="D509" s="87" t="s">
        <v>205</v>
      </c>
      <c r="E509" s="89">
        <v>0.0</v>
      </c>
      <c r="F509" s="89">
        <v>0.7293</v>
      </c>
      <c r="G509" s="89">
        <v>0.3999</v>
      </c>
      <c r="H509" s="87" t="s">
        <v>230</v>
      </c>
      <c r="I509" s="90">
        <f t="shared" si="1"/>
        <v>0.8237059265</v>
      </c>
      <c r="J509" s="81">
        <f t="shared" si="2"/>
        <v>0.5483340189</v>
      </c>
    </row>
    <row r="510">
      <c r="A510" s="88">
        <v>44684.0</v>
      </c>
      <c r="B510" s="89">
        <v>2364.0</v>
      </c>
      <c r="C510" s="89">
        <v>1.0</v>
      </c>
      <c r="D510" s="87" t="s">
        <v>204</v>
      </c>
      <c r="E510" s="89">
        <v>1.0</v>
      </c>
      <c r="F510" s="89">
        <v>1.0405</v>
      </c>
      <c r="G510" s="89">
        <v>0.5704</v>
      </c>
      <c r="H510" s="87" t="s">
        <v>230</v>
      </c>
      <c r="I510" s="90">
        <f t="shared" si="1"/>
        <v>0.8241584853</v>
      </c>
      <c r="J510" s="81">
        <f t="shared" si="2"/>
        <v>0.5481979817</v>
      </c>
    </row>
    <row r="511">
      <c r="A511" s="88">
        <v>44684.0</v>
      </c>
      <c r="B511" s="89">
        <v>2384.0</v>
      </c>
      <c r="C511" s="89">
        <v>2.0</v>
      </c>
      <c r="D511" s="87" t="s">
        <v>205</v>
      </c>
      <c r="E511" s="89">
        <v>0.0</v>
      </c>
      <c r="F511" s="89">
        <v>0.7331</v>
      </c>
      <c r="G511" s="89">
        <v>0.401</v>
      </c>
      <c r="H511" s="87" t="s">
        <v>230</v>
      </c>
      <c r="I511" s="90">
        <f t="shared" si="1"/>
        <v>0.8281795511</v>
      </c>
      <c r="J511" s="81">
        <f t="shared" si="2"/>
        <v>0.5469922248</v>
      </c>
    </row>
    <row r="512">
      <c r="A512" s="88">
        <v>44684.0</v>
      </c>
      <c r="B512" s="89">
        <v>2382.0</v>
      </c>
      <c r="C512" s="89">
        <v>1.0</v>
      </c>
      <c r="D512" s="87" t="s">
        <v>204</v>
      </c>
      <c r="E512" s="89">
        <v>1.0</v>
      </c>
      <c r="F512" s="89">
        <v>0.3527</v>
      </c>
      <c r="G512" s="89">
        <v>0.1926</v>
      </c>
      <c r="H512" s="87" t="s">
        <v>230</v>
      </c>
      <c r="I512" s="90">
        <f t="shared" si="1"/>
        <v>0.8312564901</v>
      </c>
      <c r="J512" s="81">
        <f t="shared" si="2"/>
        <v>0.54607315</v>
      </c>
    </row>
    <row r="513">
      <c r="A513" s="88">
        <v>44684.0</v>
      </c>
      <c r="B513" s="89">
        <v>2382.0</v>
      </c>
      <c r="C513" s="89">
        <v>3.0</v>
      </c>
      <c r="D513" s="87" t="s">
        <v>204</v>
      </c>
      <c r="E513" s="89">
        <v>1.0</v>
      </c>
      <c r="F513" s="89">
        <v>0.0587</v>
      </c>
      <c r="G513" s="89">
        <v>0.032</v>
      </c>
      <c r="H513" s="87" t="s">
        <v>230</v>
      </c>
      <c r="I513" s="90">
        <f t="shared" si="1"/>
        <v>0.834375</v>
      </c>
      <c r="J513" s="81">
        <f t="shared" si="2"/>
        <v>0.5451448041</v>
      </c>
    </row>
    <row r="514">
      <c r="A514" s="88">
        <v>44684.0</v>
      </c>
      <c r="B514" s="89">
        <v>2382.0</v>
      </c>
      <c r="C514" s="89">
        <v>2.0</v>
      </c>
      <c r="D514" s="87" t="s">
        <v>204</v>
      </c>
      <c r="E514" s="89">
        <v>1.0</v>
      </c>
      <c r="F514" s="89">
        <v>0.4173</v>
      </c>
      <c r="G514" s="89">
        <v>0.2272</v>
      </c>
      <c r="H514" s="87" t="s">
        <v>230</v>
      </c>
      <c r="I514" s="90">
        <f t="shared" si="1"/>
        <v>0.8367077465</v>
      </c>
      <c r="J514" s="81">
        <f t="shared" si="2"/>
        <v>0.5444524323</v>
      </c>
    </row>
    <row r="515">
      <c r="A515" s="88">
        <v>44684.0</v>
      </c>
      <c r="B515" s="89">
        <v>2382.0</v>
      </c>
      <c r="C515" s="89">
        <v>1.0</v>
      </c>
      <c r="D515" s="87" t="s">
        <v>205</v>
      </c>
      <c r="E515" s="89">
        <v>0.0</v>
      </c>
      <c r="F515" s="89">
        <v>1.8023</v>
      </c>
      <c r="G515" s="89">
        <v>0.9798</v>
      </c>
      <c r="H515" s="87" t="s">
        <v>230</v>
      </c>
      <c r="I515" s="90">
        <f t="shared" si="1"/>
        <v>0.839457032</v>
      </c>
      <c r="J515" s="81">
        <f t="shared" si="2"/>
        <v>0.5436386839</v>
      </c>
    </row>
    <row r="516">
      <c r="A516" s="88">
        <v>44684.0</v>
      </c>
      <c r="B516" s="89">
        <v>2010.0</v>
      </c>
      <c r="C516" s="89">
        <v>3.0</v>
      </c>
      <c r="D516" s="87" t="s">
        <v>204</v>
      </c>
      <c r="E516" s="89">
        <v>1.0</v>
      </c>
      <c r="F516" s="89">
        <v>0.2281</v>
      </c>
      <c r="G516" s="89">
        <v>0.1239</v>
      </c>
      <c r="H516" s="87" t="s">
        <v>230</v>
      </c>
      <c r="I516" s="90">
        <f t="shared" si="1"/>
        <v>0.8410008071</v>
      </c>
      <c r="J516" s="81">
        <f t="shared" si="2"/>
        <v>0.5431828146</v>
      </c>
    </row>
    <row r="517">
      <c r="A517" s="88">
        <v>44684.0</v>
      </c>
      <c r="B517" s="89">
        <v>2384.0</v>
      </c>
      <c r="C517" s="89">
        <v>3.0</v>
      </c>
      <c r="D517" s="87" t="s">
        <v>204</v>
      </c>
      <c r="E517" s="89">
        <v>1.0</v>
      </c>
      <c r="F517" s="89">
        <v>0.3968</v>
      </c>
      <c r="G517" s="89">
        <v>0.2147</v>
      </c>
      <c r="H517" s="87" t="s">
        <v>230</v>
      </c>
      <c r="I517" s="90">
        <f t="shared" si="1"/>
        <v>0.8481602236</v>
      </c>
      <c r="J517" s="81">
        <f t="shared" si="2"/>
        <v>0.541078629</v>
      </c>
    </row>
    <row r="518">
      <c r="A518" s="88">
        <v>44684.0</v>
      </c>
      <c r="B518" s="89">
        <v>2009.0</v>
      </c>
      <c r="C518" s="89">
        <v>3.0</v>
      </c>
      <c r="D518" s="87" t="s">
        <v>205</v>
      </c>
      <c r="E518" s="89">
        <v>0.0</v>
      </c>
      <c r="F518" s="89">
        <v>1.6147</v>
      </c>
      <c r="G518" s="89">
        <v>0.8674</v>
      </c>
      <c r="H518" s="87" t="s">
        <v>230</v>
      </c>
      <c r="I518" s="90">
        <f t="shared" si="1"/>
        <v>0.8615402352</v>
      </c>
      <c r="J518" s="81">
        <f t="shared" si="2"/>
        <v>0.5371895708</v>
      </c>
    </row>
    <row r="519">
      <c r="A519" s="88">
        <v>44684.0</v>
      </c>
      <c r="B519" s="89">
        <v>2346.0</v>
      </c>
      <c r="C519" s="89">
        <v>2.0</v>
      </c>
      <c r="D519" s="87" t="s">
        <v>204</v>
      </c>
      <c r="E519" s="89">
        <v>1.0</v>
      </c>
      <c r="F519" s="89">
        <v>0.7042</v>
      </c>
      <c r="G519" s="89">
        <v>0.3779</v>
      </c>
      <c r="H519" s="87" t="s">
        <v>230</v>
      </c>
      <c r="I519" s="90">
        <f t="shared" si="1"/>
        <v>0.8634559407</v>
      </c>
      <c r="J519" s="81">
        <f t="shared" si="2"/>
        <v>0.5366373189</v>
      </c>
    </row>
    <row r="520">
      <c r="A520" s="88">
        <v>44684.0</v>
      </c>
      <c r="B520" s="89">
        <v>2009.0</v>
      </c>
      <c r="C520" s="89">
        <v>1.0</v>
      </c>
      <c r="D520" s="87" t="s">
        <v>204</v>
      </c>
      <c r="E520" s="89">
        <v>1.0</v>
      </c>
      <c r="F520" s="89">
        <v>0.309</v>
      </c>
      <c r="G520" s="89">
        <v>0.1654</v>
      </c>
      <c r="H520" s="87" t="s">
        <v>230</v>
      </c>
      <c r="I520" s="90">
        <f t="shared" si="1"/>
        <v>0.8681983071</v>
      </c>
      <c r="J520" s="81">
        <f t="shared" si="2"/>
        <v>0.5352750809</v>
      </c>
    </row>
    <row r="521">
      <c r="A521" s="88">
        <v>44684.0</v>
      </c>
      <c r="B521" s="89">
        <v>2009.0</v>
      </c>
      <c r="C521" s="89">
        <v>2.0</v>
      </c>
      <c r="D521" s="87" t="s">
        <v>204</v>
      </c>
      <c r="E521" s="89">
        <v>1.0</v>
      </c>
      <c r="F521" s="89">
        <v>0.6048</v>
      </c>
      <c r="G521" s="89">
        <v>0.3237</v>
      </c>
      <c r="H521" s="87" t="s">
        <v>230</v>
      </c>
      <c r="I521" s="90">
        <f t="shared" si="1"/>
        <v>0.8683966636</v>
      </c>
      <c r="J521" s="81">
        <f t="shared" si="2"/>
        <v>0.535218254</v>
      </c>
    </row>
    <row r="522">
      <c r="A522" s="88">
        <v>44684.0</v>
      </c>
      <c r="B522" s="89">
        <v>2384.0</v>
      </c>
      <c r="C522" s="89">
        <v>3.0</v>
      </c>
      <c r="D522" s="87" t="s">
        <v>205</v>
      </c>
      <c r="E522" s="89">
        <v>0.0</v>
      </c>
      <c r="F522" s="89">
        <v>0.772</v>
      </c>
      <c r="G522" s="89">
        <v>0.4129</v>
      </c>
      <c r="H522" s="87" t="s">
        <v>230</v>
      </c>
      <c r="I522" s="90">
        <f t="shared" si="1"/>
        <v>0.869702107</v>
      </c>
      <c r="J522" s="81">
        <f t="shared" si="2"/>
        <v>0.5348445596</v>
      </c>
    </row>
    <row r="523">
      <c r="A523" s="88">
        <v>44684.0</v>
      </c>
      <c r="B523" s="89">
        <v>2365.0</v>
      </c>
      <c r="C523" s="89">
        <v>3.0</v>
      </c>
      <c r="D523" s="87" t="s">
        <v>204</v>
      </c>
      <c r="E523" s="89">
        <v>1.0</v>
      </c>
      <c r="F523" s="89">
        <v>0.3383</v>
      </c>
      <c r="G523" s="89">
        <v>0.1805</v>
      </c>
      <c r="H523" s="87" t="s">
        <v>230</v>
      </c>
      <c r="I523" s="90">
        <f t="shared" si="1"/>
        <v>0.8742382271</v>
      </c>
      <c r="J523" s="81">
        <f t="shared" si="2"/>
        <v>0.5335501035</v>
      </c>
    </row>
    <row r="524">
      <c r="A524" s="88">
        <v>44684.0</v>
      </c>
      <c r="B524" s="89">
        <v>2009.0</v>
      </c>
      <c r="C524" s="89">
        <v>2.0</v>
      </c>
      <c r="D524" s="87" t="s">
        <v>205</v>
      </c>
      <c r="E524" s="89">
        <v>0.0</v>
      </c>
      <c r="F524" s="89">
        <v>0.975</v>
      </c>
      <c r="G524" s="89">
        <v>0.5202</v>
      </c>
      <c r="H524" s="87" t="s">
        <v>230</v>
      </c>
      <c r="I524" s="90">
        <f t="shared" si="1"/>
        <v>0.8742791234</v>
      </c>
      <c r="J524" s="81">
        <f t="shared" si="2"/>
        <v>0.5335384615</v>
      </c>
    </row>
    <row r="525">
      <c r="A525" s="88">
        <v>44684.0</v>
      </c>
      <c r="B525" s="89">
        <v>2369.0</v>
      </c>
      <c r="C525" s="89">
        <v>1.0</v>
      </c>
      <c r="D525" s="87" t="s">
        <v>204</v>
      </c>
      <c r="E525" s="89">
        <v>1.0</v>
      </c>
      <c r="F525" s="89">
        <v>0.1613</v>
      </c>
      <c r="G525" s="89">
        <v>0.0857</v>
      </c>
      <c r="H525" s="87" t="s">
        <v>230</v>
      </c>
      <c r="I525" s="90">
        <f t="shared" si="1"/>
        <v>0.8821470245</v>
      </c>
      <c r="J525" s="81">
        <f t="shared" si="2"/>
        <v>0.5313081215</v>
      </c>
    </row>
    <row r="526">
      <c r="A526" s="88">
        <v>44684.0</v>
      </c>
      <c r="B526" s="89">
        <v>2367.0</v>
      </c>
      <c r="C526" s="89">
        <v>2.0</v>
      </c>
      <c r="D526" s="87" t="s">
        <v>204</v>
      </c>
      <c r="E526" s="89">
        <v>1.0</v>
      </c>
      <c r="F526" s="89">
        <v>0.1356</v>
      </c>
      <c r="G526" s="89">
        <v>0.072</v>
      </c>
      <c r="H526" s="87" t="s">
        <v>230</v>
      </c>
      <c r="I526" s="90">
        <f t="shared" si="1"/>
        <v>0.8833333333</v>
      </c>
      <c r="J526" s="81">
        <f t="shared" si="2"/>
        <v>0.5309734513</v>
      </c>
    </row>
    <row r="527">
      <c r="A527" s="88">
        <v>44684.0</v>
      </c>
      <c r="B527" s="89">
        <v>2081.0</v>
      </c>
      <c r="C527" s="89">
        <v>2.0</v>
      </c>
      <c r="D527" s="87" t="s">
        <v>204</v>
      </c>
      <c r="E527" s="89">
        <v>1.0</v>
      </c>
      <c r="F527" s="89">
        <v>0.302</v>
      </c>
      <c r="G527" s="89">
        <v>0.1601</v>
      </c>
      <c r="H527" s="87" t="s">
        <v>230</v>
      </c>
      <c r="I527" s="90">
        <f t="shared" si="1"/>
        <v>0.8863210493</v>
      </c>
      <c r="J527" s="81">
        <f t="shared" si="2"/>
        <v>0.5301324503</v>
      </c>
    </row>
    <row r="528">
      <c r="A528" s="88">
        <v>44684.0</v>
      </c>
      <c r="B528" s="89">
        <v>2365.0</v>
      </c>
      <c r="C528" s="89">
        <v>2.0</v>
      </c>
      <c r="D528" s="87" t="s">
        <v>204</v>
      </c>
      <c r="E528" s="89">
        <v>1.0</v>
      </c>
      <c r="F528" s="89">
        <v>0.1148</v>
      </c>
      <c r="G528" s="89">
        <v>0.0608</v>
      </c>
      <c r="H528" s="87" t="s">
        <v>230</v>
      </c>
      <c r="I528" s="90">
        <f t="shared" si="1"/>
        <v>0.8881578947</v>
      </c>
      <c r="J528" s="81">
        <f t="shared" si="2"/>
        <v>0.5296167247</v>
      </c>
    </row>
    <row r="529">
      <c r="A529" s="88">
        <v>44684.0</v>
      </c>
      <c r="B529" s="89">
        <v>2346.0</v>
      </c>
      <c r="C529" s="89">
        <v>2.0</v>
      </c>
      <c r="D529" s="87" t="s">
        <v>205</v>
      </c>
      <c r="E529" s="89">
        <v>0.0</v>
      </c>
      <c r="F529" s="89">
        <v>1.4549</v>
      </c>
      <c r="G529" s="89">
        <v>0.7705</v>
      </c>
      <c r="H529" s="87" t="s">
        <v>230</v>
      </c>
      <c r="I529" s="90">
        <f t="shared" si="1"/>
        <v>0.8882543803</v>
      </c>
      <c r="J529" s="81">
        <f t="shared" si="2"/>
        <v>0.5295896625</v>
      </c>
    </row>
    <row r="530">
      <c r="A530" s="88">
        <v>44684.0</v>
      </c>
      <c r="B530" s="89">
        <v>2369.0</v>
      </c>
      <c r="C530" s="89">
        <v>2.0</v>
      </c>
      <c r="D530" s="87" t="s">
        <v>205</v>
      </c>
      <c r="E530" s="89">
        <v>0.0</v>
      </c>
      <c r="F530" s="89">
        <v>1.1453</v>
      </c>
      <c r="G530" s="89">
        <v>0.6056</v>
      </c>
      <c r="H530" s="87" t="s">
        <v>230</v>
      </c>
      <c r="I530" s="90">
        <f t="shared" si="1"/>
        <v>0.8911822985</v>
      </c>
      <c r="J530" s="81">
        <f t="shared" si="2"/>
        <v>0.5287697546</v>
      </c>
    </row>
    <row r="531">
      <c r="A531" s="88">
        <v>44684.0</v>
      </c>
      <c r="B531" s="89">
        <v>2346.0</v>
      </c>
      <c r="C531" s="89">
        <v>3.0</v>
      </c>
      <c r="D531" s="87" t="s">
        <v>204</v>
      </c>
      <c r="E531" s="89">
        <v>1.0</v>
      </c>
      <c r="F531" s="89">
        <v>0.1937</v>
      </c>
      <c r="G531" s="89">
        <v>0.1024</v>
      </c>
      <c r="H531" s="87" t="s">
        <v>230</v>
      </c>
      <c r="I531" s="90">
        <f t="shared" si="1"/>
        <v>0.8916015625</v>
      </c>
      <c r="J531" s="81">
        <f t="shared" si="2"/>
        <v>0.5286525555</v>
      </c>
    </row>
    <row r="532">
      <c r="A532" s="88">
        <v>44684.0</v>
      </c>
      <c r="B532" s="89">
        <v>2343.0</v>
      </c>
      <c r="C532" s="89">
        <v>3.0</v>
      </c>
      <c r="D532" s="87" t="s">
        <v>204</v>
      </c>
      <c r="E532" s="89">
        <v>1.0</v>
      </c>
      <c r="F532" s="89">
        <v>0.3074</v>
      </c>
      <c r="G532" s="89">
        <v>0.1624</v>
      </c>
      <c r="H532" s="87" t="s">
        <v>230</v>
      </c>
      <c r="I532" s="90">
        <f t="shared" si="1"/>
        <v>0.8928571429</v>
      </c>
      <c r="J532" s="81">
        <f t="shared" si="2"/>
        <v>0.5283018868</v>
      </c>
    </row>
    <row r="533">
      <c r="A533" s="88">
        <v>44684.0</v>
      </c>
      <c r="B533" s="89">
        <v>2364.0</v>
      </c>
      <c r="C533" s="89">
        <v>3.0</v>
      </c>
      <c r="D533" s="87" t="s">
        <v>204</v>
      </c>
      <c r="E533" s="89">
        <v>1.0</v>
      </c>
      <c r="F533" s="89">
        <v>0.2915</v>
      </c>
      <c r="G533" s="89">
        <v>0.1538</v>
      </c>
      <c r="H533" s="87" t="s">
        <v>230</v>
      </c>
      <c r="I533" s="90">
        <f t="shared" si="1"/>
        <v>0.8953185956</v>
      </c>
      <c r="J533" s="81">
        <f t="shared" si="2"/>
        <v>0.5276157804</v>
      </c>
    </row>
    <row r="534">
      <c r="A534" s="88">
        <v>44684.0</v>
      </c>
      <c r="B534" s="89">
        <v>2367.0</v>
      </c>
      <c r="C534" s="89">
        <v>3.0</v>
      </c>
      <c r="D534" s="87" t="s">
        <v>204</v>
      </c>
      <c r="E534" s="89">
        <v>1.0</v>
      </c>
      <c r="F534" s="89">
        <v>0.1504</v>
      </c>
      <c r="G534" s="89">
        <v>0.0791</v>
      </c>
      <c r="H534" s="87" t="s">
        <v>230</v>
      </c>
      <c r="I534" s="90">
        <f t="shared" si="1"/>
        <v>0.9013906448</v>
      </c>
      <c r="J534" s="81">
        <f t="shared" si="2"/>
        <v>0.5259308511</v>
      </c>
    </row>
    <row r="535">
      <c r="A535" s="88">
        <v>44684.0</v>
      </c>
      <c r="B535" s="89">
        <v>2010.0</v>
      </c>
      <c r="C535" s="89">
        <v>2.0</v>
      </c>
      <c r="D535" s="87" t="s">
        <v>204</v>
      </c>
      <c r="E535" s="89">
        <v>1.0</v>
      </c>
      <c r="F535" s="89">
        <v>0.1819</v>
      </c>
      <c r="G535" s="89">
        <v>0.0955</v>
      </c>
      <c r="H535" s="87" t="s">
        <v>230</v>
      </c>
      <c r="I535" s="90">
        <f t="shared" si="1"/>
        <v>0.9047120419</v>
      </c>
      <c r="J535" s="81">
        <f t="shared" si="2"/>
        <v>0.5250137438</v>
      </c>
    </row>
    <row r="536">
      <c r="A536" s="88">
        <v>44684.0</v>
      </c>
      <c r="B536" s="89">
        <v>2343.0</v>
      </c>
      <c r="C536" s="89">
        <v>3.0</v>
      </c>
      <c r="D536" s="87" t="s">
        <v>205</v>
      </c>
      <c r="E536" s="89">
        <v>0.0</v>
      </c>
      <c r="F536" s="89">
        <v>2.4119</v>
      </c>
      <c r="G536" s="89">
        <v>1.265</v>
      </c>
      <c r="H536" s="87" t="s">
        <v>230</v>
      </c>
      <c r="I536" s="90">
        <f t="shared" si="1"/>
        <v>0.9066403162</v>
      </c>
      <c r="J536" s="81">
        <f t="shared" si="2"/>
        <v>0.5244827729</v>
      </c>
    </row>
    <row r="537">
      <c r="A537" s="88">
        <v>44684.0</v>
      </c>
      <c r="B537" s="89">
        <v>2369.0</v>
      </c>
      <c r="C537" s="89">
        <v>3.0</v>
      </c>
      <c r="D537" s="87" t="s">
        <v>205</v>
      </c>
      <c r="E537" s="89">
        <v>0.0</v>
      </c>
      <c r="F537" s="89">
        <v>1.3846</v>
      </c>
      <c r="G537" s="89">
        <v>0.7246</v>
      </c>
      <c r="H537" s="87" t="s">
        <v>230</v>
      </c>
      <c r="I537" s="90">
        <f t="shared" si="1"/>
        <v>0.9108473641</v>
      </c>
      <c r="J537" s="81">
        <f t="shared" si="2"/>
        <v>0.523328037</v>
      </c>
    </row>
    <row r="538">
      <c r="A538" s="88">
        <v>44684.0</v>
      </c>
      <c r="B538" s="89">
        <v>2081.0</v>
      </c>
      <c r="C538" s="89">
        <v>3.0</v>
      </c>
      <c r="D538" s="87" t="s">
        <v>204</v>
      </c>
      <c r="E538" s="89">
        <v>1.0</v>
      </c>
      <c r="F538" s="89">
        <v>0.1608</v>
      </c>
      <c r="G538" s="89">
        <v>0.084</v>
      </c>
      <c r="H538" s="87" t="s">
        <v>230</v>
      </c>
      <c r="I538" s="90">
        <f t="shared" si="1"/>
        <v>0.9142857143</v>
      </c>
      <c r="J538" s="81">
        <f t="shared" si="2"/>
        <v>0.5223880597</v>
      </c>
    </row>
    <row r="539">
      <c r="A539" s="88">
        <v>44684.0</v>
      </c>
      <c r="B539" s="89">
        <v>2369.0</v>
      </c>
      <c r="C539" s="89">
        <v>1.0</v>
      </c>
      <c r="D539" s="87" t="s">
        <v>205</v>
      </c>
      <c r="E539" s="89">
        <v>0.0</v>
      </c>
      <c r="F539" s="89">
        <v>0.9136</v>
      </c>
      <c r="G539" s="89">
        <v>0.4766</v>
      </c>
      <c r="H539" s="87" t="s">
        <v>230</v>
      </c>
      <c r="I539" s="90">
        <f t="shared" si="1"/>
        <v>0.9169114561</v>
      </c>
      <c r="J539" s="81">
        <f t="shared" si="2"/>
        <v>0.5216725044</v>
      </c>
    </row>
    <row r="540">
      <c r="A540" s="88">
        <v>44684.0</v>
      </c>
      <c r="B540" s="89">
        <v>2009.0</v>
      </c>
      <c r="C540" s="89">
        <v>1.0</v>
      </c>
      <c r="D540" s="87" t="s">
        <v>205</v>
      </c>
      <c r="E540" s="89">
        <v>0.0</v>
      </c>
      <c r="F540" s="89">
        <v>1.1472</v>
      </c>
      <c r="G540" s="89">
        <v>0.597</v>
      </c>
      <c r="H540" s="87" t="s">
        <v>230</v>
      </c>
      <c r="I540" s="90">
        <f t="shared" si="1"/>
        <v>0.9216080402</v>
      </c>
      <c r="J540" s="81">
        <f t="shared" si="2"/>
        <v>0.5203974895</v>
      </c>
    </row>
    <row r="541">
      <c r="A541" s="88">
        <v>44684.0</v>
      </c>
      <c r="B541" s="89">
        <v>2434.0</v>
      </c>
      <c r="C541" s="89">
        <v>2.0</v>
      </c>
      <c r="D541" s="87" t="s">
        <v>205</v>
      </c>
      <c r="E541" s="89">
        <v>0.0</v>
      </c>
      <c r="F541" s="89">
        <v>1.6221</v>
      </c>
      <c r="G541" s="89">
        <v>0.8433</v>
      </c>
      <c r="H541" s="87" t="s">
        <v>230</v>
      </c>
      <c r="I541" s="90">
        <f t="shared" si="1"/>
        <v>0.9235147634</v>
      </c>
      <c r="J541" s="81">
        <f t="shared" si="2"/>
        <v>0.5198816349</v>
      </c>
    </row>
    <row r="542">
      <c r="A542" s="88">
        <v>44684.0</v>
      </c>
      <c r="B542" s="89">
        <v>2367.0</v>
      </c>
      <c r="C542" s="89">
        <v>1.0</v>
      </c>
      <c r="D542" s="87" t="s">
        <v>204</v>
      </c>
      <c r="E542" s="89">
        <v>1.0</v>
      </c>
      <c r="F542" s="89">
        <v>0.2484</v>
      </c>
      <c r="G542" s="89">
        <v>0.1289</v>
      </c>
      <c r="H542" s="87" t="s">
        <v>230</v>
      </c>
      <c r="I542" s="90">
        <f t="shared" si="1"/>
        <v>0.9270752521</v>
      </c>
      <c r="J542" s="81">
        <f t="shared" si="2"/>
        <v>0.518921095</v>
      </c>
    </row>
    <row r="543">
      <c r="A543" s="88">
        <v>44684.0</v>
      </c>
      <c r="B543" s="89">
        <v>2010.0</v>
      </c>
      <c r="C543" s="89">
        <v>2.0</v>
      </c>
      <c r="D543" s="87" t="s">
        <v>205</v>
      </c>
      <c r="E543" s="89">
        <v>0.0</v>
      </c>
      <c r="F543" s="89">
        <v>0.9331</v>
      </c>
      <c r="G543" s="89">
        <v>0.4825</v>
      </c>
      <c r="H543" s="87" t="s">
        <v>230</v>
      </c>
      <c r="I543" s="90">
        <f t="shared" si="1"/>
        <v>0.9338860104</v>
      </c>
      <c r="J543" s="81">
        <f t="shared" si="2"/>
        <v>0.5170935591</v>
      </c>
    </row>
    <row r="544">
      <c r="A544" s="88">
        <v>44684.0</v>
      </c>
      <c r="B544" s="89">
        <v>2343.0</v>
      </c>
      <c r="C544" s="89">
        <v>1.0</v>
      </c>
      <c r="D544" s="87" t="s">
        <v>205</v>
      </c>
      <c r="E544" s="89">
        <v>0.0</v>
      </c>
      <c r="F544" s="89">
        <v>4.1228</v>
      </c>
      <c r="G544" s="89">
        <v>2.131</v>
      </c>
      <c r="H544" s="87" t="s">
        <v>230</v>
      </c>
      <c r="I544" s="90">
        <f t="shared" si="1"/>
        <v>0.9346785547</v>
      </c>
      <c r="J544" s="81">
        <f t="shared" si="2"/>
        <v>0.5168817309</v>
      </c>
    </row>
    <row r="545">
      <c r="A545" s="88">
        <v>44684.0</v>
      </c>
      <c r="B545" s="89">
        <v>2346.0</v>
      </c>
      <c r="C545" s="89">
        <v>1.0</v>
      </c>
      <c r="D545" s="87" t="s">
        <v>205</v>
      </c>
      <c r="E545" s="89">
        <v>0.0</v>
      </c>
      <c r="F545" s="89">
        <v>0.4463</v>
      </c>
      <c r="G545" s="89">
        <v>0.2303</v>
      </c>
      <c r="H545" s="87" t="s">
        <v>230</v>
      </c>
      <c r="I545" s="90">
        <f t="shared" si="1"/>
        <v>0.9379070777</v>
      </c>
      <c r="J545" s="81">
        <f t="shared" si="2"/>
        <v>0.5160206139</v>
      </c>
    </row>
    <row r="546">
      <c r="A546" s="88">
        <v>44684.0</v>
      </c>
      <c r="B546" s="89">
        <v>2010.0</v>
      </c>
      <c r="C546" s="89">
        <v>3.0</v>
      </c>
      <c r="D546" s="87" t="s">
        <v>205</v>
      </c>
      <c r="E546" s="89">
        <v>0.0</v>
      </c>
      <c r="F546" s="89">
        <v>1.1733</v>
      </c>
      <c r="G546" s="89">
        <v>0.6053</v>
      </c>
      <c r="H546" s="87" t="s">
        <v>230</v>
      </c>
      <c r="I546" s="90">
        <f t="shared" si="1"/>
        <v>0.938377664</v>
      </c>
      <c r="J546" s="81">
        <f t="shared" si="2"/>
        <v>0.5158953379</v>
      </c>
    </row>
    <row r="547">
      <c r="A547" s="88">
        <v>44684.0</v>
      </c>
      <c r="B547" s="89">
        <v>2347.0</v>
      </c>
      <c r="C547" s="89">
        <v>2.0</v>
      </c>
      <c r="D547" s="87" t="s">
        <v>205</v>
      </c>
      <c r="E547" s="89">
        <v>0.0</v>
      </c>
      <c r="F547" s="89">
        <v>0.9126</v>
      </c>
      <c r="G547" s="89">
        <v>0.4707</v>
      </c>
      <c r="H547" s="87" t="s">
        <v>230</v>
      </c>
      <c r="I547" s="90">
        <f t="shared" si="1"/>
        <v>0.9388145315</v>
      </c>
      <c r="J547" s="81">
        <f t="shared" si="2"/>
        <v>0.5157790927</v>
      </c>
    </row>
    <row r="548">
      <c r="A548" s="88">
        <v>44684.0</v>
      </c>
      <c r="B548" s="89">
        <v>2081.0</v>
      </c>
      <c r="C548" s="89">
        <v>1.0</v>
      </c>
      <c r="D548" s="87" t="s">
        <v>205</v>
      </c>
      <c r="E548" s="89">
        <v>0.0</v>
      </c>
      <c r="F548" s="89">
        <v>0.118</v>
      </c>
      <c r="G548" s="89">
        <v>0.0608</v>
      </c>
      <c r="H548" s="87" t="s">
        <v>230</v>
      </c>
      <c r="I548" s="90">
        <f t="shared" si="1"/>
        <v>0.9407894737</v>
      </c>
      <c r="J548" s="81">
        <f t="shared" si="2"/>
        <v>0.5152542373</v>
      </c>
    </row>
    <row r="549">
      <c r="A549" s="88">
        <v>44684.0</v>
      </c>
      <c r="B549" s="89">
        <v>2347.0</v>
      </c>
      <c r="C549" s="89">
        <v>1.0</v>
      </c>
      <c r="D549" s="87" t="s">
        <v>205</v>
      </c>
      <c r="E549" s="89">
        <v>0.0</v>
      </c>
      <c r="F549" s="89">
        <v>1.2466</v>
      </c>
      <c r="G549" s="89">
        <v>0.6414</v>
      </c>
      <c r="H549" s="87" t="s">
        <v>230</v>
      </c>
      <c r="I549" s="90">
        <f t="shared" si="1"/>
        <v>0.9435609604</v>
      </c>
      <c r="J549" s="81">
        <f t="shared" si="2"/>
        <v>0.514519493</v>
      </c>
    </row>
    <row r="550">
      <c r="A550" s="88">
        <v>44684.0</v>
      </c>
      <c r="B550" s="89">
        <v>2364.0</v>
      </c>
      <c r="C550" s="89">
        <v>1.0</v>
      </c>
      <c r="D550" s="87" t="s">
        <v>205</v>
      </c>
      <c r="E550" s="89">
        <v>0.0</v>
      </c>
      <c r="F550" s="89">
        <v>2.9396</v>
      </c>
      <c r="G550" s="89">
        <v>1.5115</v>
      </c>
      <c r="H550" s="87" t="s">
        <v>230</v>
      </c>
      <c r="I550" s="90">
        <f t="shared" si="1"/>
        <v>0.9448230235</v>
      </c>
      <c r="J550" s="81">
        <f t="shared" si="2"/>
        <v>0.5141856035</v>
      </c>
    </row>
    <row r="551">
      <c r="A551" s="88">
        <v>44684.0</v>
      </c>
      <c r="B551" s="89">
        <v>2364.0</v>
      </c>
      <c r="C551" s="89">
        <v>1.0</v>
      </c>
      <c r="D551" s="87" t="s">
        <v>204</v>
      </c>
      <c r="E551" s="89">
        <v>0.0</v>
      </c>
      <c r="F551" s="89">
        <v>0.4489</v>
      </c>
      <c r="G551" s="89">
        <v>0.2304</v>
      </c>
      <c r="H551" s="87" t="s">
        <v>230</v>
      </c>
      <c r="I551" s="90">
        <f t="shared" si="1"/>
        <v>0.9483506944</v>
      </c>
      <c r="J551" s="81">
        <f t="shared" si="2"/>
        <v>0.5132546224</v>
      </c>
    </row>
    <row r="552">
      <c r="A552" s="88">
        <v>44684.0</v>
      </c>
      <c r="B552" s="89">
        <v>2010.0</v>
      </c>
      <c r="C552" s="89">
        <v>1.0</v>
      </c>
      <c r="D552" s="87" t="s">
        <v>205</v>
      </c>
      <c r="E552" s="89">
        <v>0.0</v>
      </c>
      <c r="F552" s="89">
        <v>1.7985</v>
      </c>
      <c r="G552" s="89">
        <v>0.9225</v>
      </c>
      <c r="H552" s="87" t="s">
        <v>230</v>
      </c>
      <c r="I552" s="90">
        <f t="shared" si="1"/>
        <v>0.9495934959</v>
      </c>
      <c r="J552" s="81">
        <f t="shared" si="2"/>
        <v>0.5129274395</v>
      </c>
    </row>
    <row r="553">
      <c r="A553" s="88">
        <v>44684.0</v>
      </c>
      <c r="B553" s="89">
        <v>2347.0</v>
      </c>
      <c r="C553" s="89">
        <v>2.0</v>
      </c>
      <c r="D553" s="87" t="s">
        <v>204</v>
      </c>
      <c r="E553" s="89">
        <v>1.0</v>
      </c>
      <c r="F553" s="89">
        <v>0.24</v>
      </c>
      <c r="G553" s="89">
        <v>0.1229</v>
      </c>
      <c r="H553" s="87" t="s">
        <v>230</v>
      </c>
      <c r="I553" s="90">
        <f t="shared" si="1"/>
        <v>0.9528071603</v>
      </c>
      <c r="J553" s="81">
        <f t="shared" si="2"/>
        <v>0.5120833333</v>
      </c>
    </row>
    <row r="554">
      <c r="A554" s="88">
        <v>44684.0</v>
      </c>
      <c r="B554" s="89">
        <v>2365.0</v>
      </c>
      <c r="C554" s="89">
        <v>1.0</v>
      </c>
      <c r="D554" s="87" t="s">
        <v>204</v>
      </c>
      <c r="E554" s="89">
        <v>1.0</v>
      </c>
      <c r="F554" s="89">
        <v>0.093</v>
      </c>
      <c r="G554" s="89">
        <v>0.0475</v>
      </c>
      <c r="H554" s="87" t="s">
        <v>230</v>
      </c>
      <c r="I554" s="90">
        <f t="shared" si="1"/>
        <v>0.9578947368</v>
      </c>
      <c r="J554" s="81">
        <f t="shared" si="2"/>
        <v>0.5107526882</v>
      </c>
    </row>
    <row r="555">
      <c r="A555" s="88">
        <v>44684.0</v>
      </c>
      <c r="B555" s="89">
        <v>2346.0</v>
      </c>
      <c r="C555" s="89">
        <v>1.0</v>
      </c>
      <c r="D555" s="87" t="s">
        <v>205</v>
      </c>
      <c r="E555" s="89">
        <v>0.0</v>
      </c>
      <c r="F555" s="89">
        <v>1.8388</v>
      </c>
      <c r="G555" s="89">
        <v>0.9389</v>
      </c>
      <c r="H555" s="87" t="s">
        <v>230</v>
      </c>
      <c r="I555" s="90">
        <f t="shared" si="1"/>
        <v>0.95846203</v>
      </c>
      <c r="J555" s="81">
        <f t="shared" si="2"/>
        <v>0.5106047422</v>
      </c>
    </row>
    <row r="556">
      <c r="A556" s="88">
        <v>44684.0</v>
      </c>
      <c r="B556" s="89">
        <v>2382.0</v>
      </c>
      <c r="C556" s="89">
        <v>1.0</v>
      </c>
      <c r="D556" s="87" t="s">
        <v>204</v>
      </c>
      <c r="E556" s="89">
        <v>0.0</v>
      </c>
      <c r="F556" s="89">
        <v>0.2761</v>
      </c>
      <c r="G556" s="89">
        <v>0.1407</v>
      </c>
      <c r="H556" s="87" t="s">
        <v>230</v>
      </c>
      <c r="I556" s="90">
        <f t="shared" si="1"/>
        <v>0.9623312011</v>
      </c>
      <c r="J556" s="81">
        <f t="shared" si="2"/>
        <v>0.5095979717</v>
      </c>
    </row>
    <row r="557">
      <c r="A557" s="88">
        <v>44684.0</v>
      </c>
      <c r="B557" s="89">
        <v>2347.0</v>
      </c>
      <c r="C557" s="89">
        <v>3.0</v>
      </c>
      <c r="D557" s="87" t="s">
        <v>204</v>
      </c>
      <c r="E557" s="89">
        <v>1.0</v>
      </c>
      <c r="F557" s="89">
        <v>0.2814</v>
      </c>
      <c r="G557" s="89">
        <v>0.1434</v>
      </c>
      <c r="H557" s="87" t="s">
        <v>230</v>
      </c>
      <c r="I557" s="90">
        <f t="shared" si="1"/>
        <v>0.9623430962</v>
      </c>
      <c r="J557" s="81">
        <f t="shared" si="2"/>
        <v>0.5095948827</v>
      </c>
    </row>
    <row r="558">
      <c r="A558" s="88">
        <v>44684.0</v>
      </c>
      <c r="B558" s="89">
        <v>2009.0</v>
      </c>
      <c r="C558" s="89">
        <v>3.0</v>
      </c>
      <c r="D558" s="87" t="s">
        <v>204</v>
      </c>
      <c r="E558" s="89">
        <v>0.0</v>
      </c>
      <c r="F558" s="89">
        <v>0.2221</v>
      </c>
      <c r="G558" s="89">
        <v>0.113</v>
      </c>
      <c r="H558" s="87" t="s">
        <v>230</v>
      </c>
      <c r="I558" s="90">
        <f t="shared" si="1"/>
        <v>0.9654867257</v>
      </c>
      <c r="J558" s="81">
        <f t="shared" si="2"/>
        <v>0.5087798289</v>
      </c>
    </row>
    <row r="559">
      <c r="A559" s="88">
        <v>44684.0</v>
      </c>
      <c r="B559" s="89">
        <v>2081.0</v>
      </c>
      <c r="C559" s="89">
        <v>1.0</v>
      </c>
      <c r="D559" s="87" t="s">
        <v>204</v>
      </c>
      <c r="E559" s="89">
        <v>1.0</v>
      </c>
      <c r="F559" s="89">
        <v>0.985</v>
      </c>
      <c r="G559" s="89">
        <v>0.5008</v>
      </c>
      <c r="H559" s="87" t="s">
        <v>230</v>
      </c>
      <c r="I559" s="90">
        <f t="shared" si="1"/>
        <v>0.9668530351</v>
      </c>
      <c r="J559" s="81">
        <f t="shared" si="2"/>
        <v>0.5084263959</v>
      </c>
    </row>
    <row r="560">
      <c r="A560" s="88">
        <v>44684.0</v>
      </c>
      <c r="B560" s="89">
        <v>2384.0</v>
      </c>
      <c r="C560" s="89">
        <v>2.0</v>
      </c>
      <c r="D560" s="87" t="s">
        <v>204</v>
      </c>
      <c r="E560" s="89">
        <v>0.0</v>
      </c>
      <c r="F560" s="89">
        <v>0.0663</v>
      </c>
      <c r="G560" s="89">
        <v>0.0337</v>
      </c>
      <c r="H560" s="87" t="s">
        <v>230</v>
      </c>
      <c r="I560" s="90">
        <f t="shared" si="1"/>
        <v>0.9673590504</v>
      </c>
      <c r="J560" s="81">
        <f t="shared" si="2"/>
        <v>0.5082956259</v>
      </c>
    </row>
    <row r="561">
      <c r="A561" s="88">
        <v>44684.0</v>
      </c>
      <c r="B561" s="89">
        <v>2364.0</v>
      </c>
      <c r="C561" s="89">
        <v>3.0</v>
      </c>
      <c r="D561" s="87" t="s">
        <v>205</v>
      </c>
      <c r="E561" s="89">
        <v>0.0</v>
      </c>
      <c r="F561" s="89">
        <v>0.4769</v>
      </c>
      <c r="G561" s="89">
        <v>0.2422</v>
      </c>
      <c r="H561" s="87" t="s">
        <v>230</v>
      </c>
      <c r="I561" s="90">
        <f t="shared" si="1"/>
        <v>0.9690338563</v>
      </c>
      <c r="J561" s="81">
        <f t="shared" si="2"/>
        <v>0.5078632837</v>
      </c>
    </row>
    <row r="562">
      <c r="A562" s="88">
        <v>44684.0</v>
      </c>
      <c r="B562" s="89">
        <v>2382.0</v>
      </c>
      <c r="C562" s="89">
        <v>3.0</v>
      </c>
      <c r="D562" s="87" t="s">
        <v>204</v>
      </c>
      <c r="E562" s="89">
        <v>0.0</v>
      </c>
      <c r="F562" s="89">
        <v>0.1564</v>
      </c>
      <c r="G562" s="89">
        <v>0.0791</v>
      </c>
      <c r="H562" s="87" t="s">
        <v>230</v>
      </c>
      <c r="I562" s="90">
        <f t="shared" si="1"/>
        <v>0.9772439949</v>
      </c>
      <c r="J562" s="81">
        <f t="shared" si="2"/>
        <v>0.5057544757</v>
      </c>
    </row>
    <row r="563">
      <c r="A563" s="88">
        <v>44684.0</v>
      </c>
      <c r="B563" s="89">
        <v>2365.0</v>
      </c>
      <c r="C563" s="89">
        <v>3.0</v>
      </c>
      <c r="D563" s="87" t="s">
        <v>204</v>
      </c>
      <c r="E563" s="89">
        <v>0.0</v>
      </c>
      <c r="F563" s="89">
        <v>0.1463</v>
      </c>
      <c r="G563" s="89">
        <v>0.0739</v>
      </c>
      <c r="H563" s="87" t="s">
        <v>230</v>
      </c>
      <c r="I563" s="90">
        <f t="shared" si="1"/>
        <v>0.9797023004</v>
      </c>
      <c r="J563" s="81">
        <f t="shared" si="2"/>
        <v>0.5051264525</v>
      </c>
    </row>
    <row r="564">
      <c r="A564" s="88">
        <v>44684.0</v>
      </c>
      <c r="B564" s="89">
        <v>2347.0</v>
      </c>
      <c r="C564" s="89">
        <v>3.0</v>
      </c>
      <c r="D564" s="87" t="s">
        <v>205</v>
      </c>
      <c r="E564" s="89">
        <v>0.0</v>
      </c>
      <c r="F564" s="89">
        <v>1.2971</v>
      </c>
      <c r="G564" s="89">
        <v>0.6548</v>
      </c>
      <c r="H564" s="87" t="s">
        <v>230</v>
      </c>
      <c r="I564" s="90">
        <f t="shared" si="1"/>
        <v>0.9809102016</v>
      </c>
      <c r="J564" s="81">
        <f t="shared" si="2"/>
        <v>0.5048184411</v>
      </c>
    </row>
    <row r="565">
      <c r="A565" s="88">
        <v>44684.0</v>
      </c>
      <c r="B565" s="89">
        <v>2346.0</v>
      </c>
      <c r="C565" s="89">
        <v>1.0</v>
      </c>
      <c r="D565" s="87" t="s">
        <v>204</v>
      </c>
      <c r="E565" s="89">
        <v>1.0</v>
      </c>
      <c r="F565" s="89">
        <v>0.1506</v>
      </c>
      <c r="G565" s="89">
        <v>0.0759</v>
      </c>
      <c r="H565" s="87" t="s">
        <v>230</v>
      </c>
      <c r="I565" s="90">
        <f t="shared" si="1"/>
        <v>0.9841897233</v>
      </c>
      <c r="J565" s="81">
        <f t="shared" si="2"/>
        <v>0.5039840637</v>
      </c>
    </row>
    <row r="566">
      <c r="A566" s="88">
        <v>44684.0</v>
      </c>
      <c r="B566" s="89">
        <v>2347.0</v>
      </c>
      <c r="C566" s="89">
        <v>1.0</v>
      </c>
      <c r="D566" s="87" t="s">
        <v>204</v>
      </c>
      <c r="E566" s="89">
        <v>1.0</v>
      </c>
      <c r="F566" s="89">
        <v>0.2391</v>
      </c>
      <c r="G566" s="89">
        <v>0.1202</v>
      </c>
      <c r="H566" s="87" t="s">
        <v>230</v>
      </c>
      <c r="I566" s="90">
        <f t="shared" si="1"/>
        <v>0.9891846922</v>
      </c>
      <c r="J566" s="81">
        <f t="shared" si="2"/>
        <v>0.5027185278</v>
      </c>
    </row>
    <row r="567">
      <c r="A567" s="88">
        <v>44684.0</v>
      </c>
      <c r="B567" s="89">
        <v>2364.0</v>
      </c>
      <c r="C567" s="89">
        <v>2.0</v>
      </c>
      <c r="D567" s="87" t="s">
        <v>204</v>
      </c>
      <c r="E567" s="89">
        <v>0.0</v>
      </c>
      <c r="F567" s="89">
        <v>0.2099</v>
      </c>
      <c r="G567" s="89">
        <v>0.1054</v>
      </c>
      <c r="H567" s="87" t="s">
        <v>230</v>
      </c>
      <c r="I567" s="90">
        <f t="shared" si="1"/>
        <v>0.9914611006</v>
      </c>
      <c r="J567" s="81">
        <f t="shared" si="2"/>
        <v>0.502143878</v>
      </c>
    </row>
    <row r="568">
      <c r="A568" s="88">
        <v>44684.0</v>
      </c>
      <c r="B568" s="89">
        <v>2343.0</v>
      </c>
      <c r="C568" s="89">
        <v>1.0</v>
      </c>
      <c r="D568" s="87" t="s">
        <v>204</v>
      </c>
      <c r="E568" s="89">
        <v>1.0</v>
      </c>
      <c r="F568" s="89">
        <v>0.3603</v>
      </c>
      <c r="G568" s="89">
        <v>0.1808</v>
      </c>
      <c r="H568" s="87" t="s">
        <v>230</v>
      </c>
      <c r="I568" s="90">
        <f t="shared" si="1"/>
        <v>0.9928097345</v>
      </c>
      <c r="J568" s="81">
        <f t="shared" si="2"/>
        <v>0.5018040522</v>
      </c>
    </row>
    <row r="569">
      <c r="A569" s="88">
        <v>44684.0</v>
      </c>
      <c r="B569" s="89">
        <v>2346.0</v>
      </c>
      <c r="C569" s="89">
        <v>2.0</v>
      </c>
      <c r="D569" s="87" t="s">
        <v>204</v>
      </c>
      <c r="E569" s="89">
        <v>0.0</v>
      </c>
      <c r="F569" s="89">
        <v>0.1386</v>
      </c>
      <c r="G569" s="89">
        <v>0.0695</v>
      </c>
      <c r="H569" s="87" t="s">
        <v>230</v>
      </c>
      <c r="I569" s="90">
        <f t="shared" si="1"/>
        <v>0.9942446043</v>
      </c>
      <c r="J569" s="81">
        <f t="shared" si="2"/>
        <v>0.5014430014</v>
      </c>
    </row>
    <row r="570">
      <c r="A570" s="88">
        <v>44684.0</v>
      </c>
      <c r="B570" s="89">
        <v>2081.0</v>
      </c>
      <c r="C570" s="89">
        <v>3.0</v>
      </c>
      <c r="D570" s="87" t="s">
        <v>205</v>
      </c>
      <c r="E570" s="89">
        <v>0.0</v>
      </c>
      <c r="F570" s="89">
        <v>1.1032</v>
      </c>
      <c r="G570" s="89">
        <v>0.5524</v>
      </c>
      <c r="H570" s="87" t="s">
        <v>230</v>
      </c>
      <c r="I570" s="90">
        <f t="shared" si="1"/>
        <v>0.9971035482</v>
      </c>
      <c r="J570" s="81">
        <f t="shared" si="2"/>
        <v>0.5007251632</v>
      </c>
    </row>
    <row r="571">
      <c r="A571" s="88">
        <v>44684.0</v>
      </c>
      <c r="B571" s="89">
        <v>2081.0</v>
      </c>
      <c r="C571" s="89">
        <v>2.0</v>
      </c>
      <c r="D571" s="87" t="s">
        <v>205</v>
      </c>
      <c r="E571" s="89">
        <v>0.0</v>
      </c>
      <c r="F571" s="89">
        <v>0.8622</v>
      </c>
      <c r="G571" s="89">
        <v>0.4311</v>
      </c>
      <c r="H571" s="87" t="s">
        <v>230</v>
      </c>
      <c r="I571" s="90">
        <f t="shared" si="1"/>
        <v>1</v>
      </c>
      <c r="J571" s="81">
        <f t="shared" si="2"/>
        <v>0.5</v>
      </c>
    </row>
    <row r="572">
      <c r="A572" s="88">
        <v>44684.0</v>
      </c>
      <c r="B572" s="89">
        <v>2369.0</v>
      </c>
      <c r="C572" s="89">
        <v>3.0</v>
      </c>
      <c r="D572" s="87" t="s">
        <v>204</v>
      </c>
      <c r="E572" s="89">
        <v>0.0</v>
      </c>
      <c r="F572" s="89">
        <v>0.2101</v>
      </c>
      <c r="G572" s="89">
        <v>0.1045</v>
      </c>
      <c r="H572" s="87" t="s">
        <v>230</v>
      </c>
      <c r="I572" s="90">
        <f t="shared" si="1"/>
        <v>1.010526316</v>
      </c>
      <c r="J572" s="81">
        <f t="shared" si="2"/>
        <v>0.497382199</v>
      </c>
    </row>
    <row r="573">
      <c r="A573" s="88">
        <v>44684.0</v>
      </c>
      <c r="B573" s="89">
        <v>2347.0</v>
      </c>
      <c r="C573" s="89">
        <v>1.0</v>
      </c>
      <c r="D573" s="87" t="s">
        <v>204</v>
      </c>
      <c r="E573" s="89">
        <v>0.0</v>
      </c>
      <c r="F573" s="89">
        <v>0.2014</v>
      </c>
      <c r="G573" s="89">
        <v>0.0998</v>
      </c>
      <c r="H573" s="87" t="s">
        <v>230</v>
      </c>
      <c r="I573" s="90">
        <f t="shared" si="1"/>
        <v>1.018036072</v>
      </c>
      <c r="J573" s="81">
        <f t="shared" si="2"/>
        <v>0.495531281</v>
      </c>
    </row>
    <row r="574">
      <c r="A574" s="88">
        <v>44684.0</v>
      </c>
      <c r="B574" s="89">
        <v>2369.0</v>
      </c>
      <c r="C574" s="89">
        <v>1.0</v>
      </c>
      <c r="D574" s="87" t="s">
        <v>204</v>
      </c>
      <c r="E574" s="89">
        <v>0.0</v>
      </c>
      <c r="F574" s="89">
        <v>0.0879</v>
      </c>
      <c r="G574" s="89">
        <v>0.0434</v>
      </c>
      <c r="H574" s="87" t="s">
        <v>230</v>
      </c>
      <c r="I574" s="90">
        <f t="shared" si="1"/>
        <v>1.025345622</v>
      </c>
      <c r="J574" s="81">
        <f t="shared" si="2"/>
        <v>0.4937428896</v>
      </c>
    </row>
    <row r="575">
      <c r="A575" s="88">
        <v>44684.0</v>
      </c>
      <c r="B575" s="89">
        <v>2365.0</v>
      </c>
      <c r="C575" s="89">
        <v>3.0</v>
      </c>
      <c r="D575" s="87" t="s">
        <v>205</v>
      </c>
      <c r="E575" s="89">
        <v>0.0</v>
      </c>
      <c r="F575" s="89">
        <v>0.9666</v>
      </c>
      <c r="G575" s="89">
        <v>0.4772</v>
      </c>
      <c r="H575" s="87" t="s">
        <v>230</v>
      </c>
      <c r="I575" s="90">
        <f t="shared" si="1"/>
        <v>1.025565801</v>
      </c>
      <c r="J575" s="81">
        <f t="shared" si="2"/>
        <v>0.4936892199</v>
      </c>
    </row>
    <row r="576">
      <c r="A576" s="88">
        <v>44684.0</v>
      </c>
      <c r="B576" s="89">
        <v>2382.0</v>
      </c>
      <c r="C576" s="89">
        <v>2.0</v>
      </c>
      <c r="D576" s="87" t="s">
        <v>204</v>
      </c>
      <c r="E576" s="89">
        <v>0.0</v>
      </c>
      <c r="F576" s="89">
        <v>0.1639</v>
      </c>
      <c r="G576" s="89">
        <v>0.0808</v>
      </c>
      <c r="H576" s="87" t="s">
        <v>230</v>
      </c>
      <c r="I576" s="90">
        <f t="shared" si="1"/>
        <v>1.028465347</v>
      </c>
      <c r="J576" s="81">
        <f t="shared" si="2"/>
        <v>0.4929835265</v>
      </c>
    </row>
    <row r="577">
      <c r="A577" s="88">
        <v>44684.0</v>
      </c>
      <c r="B577" s="89">
        <v>2343.0</v>
      </c>
      <c r="C577" s="89">
        <v>3.0</v>
      </c>
      <c r="D577" s="87" t="s">
        <v>204</v>
      </c>
      <c r="E577" s="89">
        <v>0.0</v>
      </c>
      <c r="F577" s="89">
        <v>0.2654</v>
      </c>
      <c r="G577" s="89">
        <v>0.1306</v>
      </c>
      <c r="H577" s="87" t="s">
        <v>230</v>
      </c>
      <c r="I577" s="90">
        <f t="shared" si="1"/>
        <v>1.032159265</v>
      </c>
      <c r="J577" s="81">
        <f t="shared" si="2"/>
        <v>0.4920874152</v>
      </c>
    </row>
    <row r="578">
      <c r="A578" s="88">
        <v>44684.0</v>
      </c>
      <c r="B578" s="89">
        <v>2384.0</v>
      </c>
      <c r="C578" s="89">
        <v>1.0</v>
      </c>
      <c r="D578" s="87" t="s">
        <v>204</v>
      </c>
      <c r="E578" s="89">
        <v>0.0</v>
      </c>
      <c r="F578" s="89">
        <v>0.1131</v>
      </c>
      <c r="G578" s="89">
        <v>0.0555</v>
      </c>
      <c r="H578" s="87" t="s">
        <v>230</v>
      </c>
      <c r="I578" s="90">
        <f t="shared" si="1"/>
        <v>1.037837838</v>
      </c>
      <c r="J578" s="81">
        <f t="shared" si="2"/>
        <v>0.4907161804</v>
      </c>
    </row>
    <row r="579">
      <c r="A579" s="88">
        <v>44684.0</v>
      </c>
      <c r="B579" s="89">
        <v>2367.0</v>
      </c>
      <c r="C579" s="89">
        <v>2.0</v>
      </c>
      <c r="D579" s="87" t="s">
        <v>205</v>
      </c>
      <c r="E579" s="89">
        <v>0.0</v>
      </c>
      <c r="F579" s="89">
        <v>0.2862</v>
      </c>
      <c r="G579" s="89">
        <v>0.1403</v>
      </c>
      <c r="H579" s="87" t="s">
        <v>230</v>
      </c>
      <c r="I579" s="90">
        <f t="shared" si="1"/>
        <v>1.039914469</v>
      </c>
      <c r="J579" s="81">
        <f t="shared" si="2"/>
        <v>0.4902166317</v>
      </c>
    </row>
    <row r="580">
      <c r="A580" s="88">
        <v>44684.0</v>
      </c>
      <c r="B580" s="89">
        <v>2081.0</v>
      </c>
      <c r="C580" s="89">
        <v>1.0</v>
      </c>
      <c r="D580" s="87" t="s">
        <v>204</v>
      </c>
      <c r="E580" s="89">
        <v>0.0</v>
      </c>
      <c r="F580" s="89">
        <v>0.081</v>
      </c>
      <c r="G580" s="89">
        <v>0.0397</v>
      </c>
      <c r="H580" s="87" t="s">
        <v>230</v>
      </c>
      <c r="I580" s="90">
        <f t="shared" si="1"/>
        <v>1.040302267</v>
      </c>
      <c r="J580" s="81">
        <f t="shared" si="2"/>
        <v>0.4901234568</v>
      </c>
    </row>
    <row r="581">
      <c r="A581" s="88">
        <v>44684.0</v>
      </c>
      <c r="B581" s="89">
        <v>2367.0</v>
      </c>
      <c r="C581" s="89">
        <v>2.0</v>
      </c>
      <c r="D581" s="87" t="s">
        <v>204</v>
      </c>
      <c r="E581" s="89">
        <v>0.0</v>
      </c>
      <c r="F581" s="89">
        <v>0.0186</v>
      </c>
      <c r="G581" s="89">
        <v>0.0091</v>
      </c>
      <c r="H581" s="87" t="s">
        <v>230</v>
      </c>
      <c r="I581" s="90">
        <f t="shared" si="1"/>
        <v>1.043956044</v>
      </c>
      <c r="J581" s="81">
        <f t="shared" si="2"/>
        <v>0.4892473118</v>
      </c>
    </row>
    <row r="582">
      <c r="A582" s="88">
        <v>44684.0</v>
      </c>
      <c r="B582" s="89">
        <v>2347.0</v>
      </c>
      <c r="C582" s="89">
        <v>2.0</v>
      </c>
      <c r="D582" s="87" t="s">
        <v>204</v>
      </c>
      <c r="E582" s="89">
        <v>0.0</v>
      </c>
      <c r="F582" s="89">
        <v>0.124</v>
      </c>
      <c r="G582" s="89">
        <v>0.0606</v>
      </c>
      <c r="H582" s="87" t="s">
        <v>230</v>
      </c>
      <c r="I582" s="90">
        <f t="shared" si="1"/>
        <v>1.04620462</v>
      </c>
      <c r="J582" s="81">
        <f t="shared" si="2"/>
        <v>0.4887096774</v>
      </c>
    </row>
    <row r="583">
      <c r="A583" s="88">
        <v>44684.0</v>
      </c>
      <c r="B583" s="89">
        <v>2365.0</v>
      </c>
      <c r="C583" s="89">
        <v>2.0</v>
      </c>
      <c r="D583" s="87" t="s">
        <v>205</v>
      </c>
      <c r="E583" s="89">
        <v>0.0</v>
      </c>
      <c r="F583" s="89">
        <v>0.6841</v>
      </c>
      <c r="G583" s="89">
        <v>0.3339</v>
      </c>
      <c r="H583" s="87" t="s">
        <v>230</v>
      </c>
      <c r="I583" s="90">
        <f t="shared" si="1"/>
        <v>1.048817011</v>
      </c>
      <c r="J583" s="81">
        <f t="shared" si="2"/>
        <v>0.4880865371</v>
      </c>
    </row>
    <row r="584">
      <c r="A584" s="88">
        <v>44684.0</v>
      </c>
      <c r="B584" s="89">
        <v>2347.0</v>
      </c>
      <c r="C584" s="89">
        <v>3.0</v>
      </c>
      <c r="D584" s="87" t="s">
        <v>204</v>
      </c>
      <c r="E584" s="89">
        <v>0.0</v>
      </c>
      <c r="F584" s="89">
        <v>0.1789</v>
      </c>
      <c r="G584" s="89">
        <v>0.0873</v>
      </c>
      <c r="H584" s="87" t="s">
        <v>230</v>
      </c>
      <c r="I584" s="90">
        <f t="shared" si="1"/>
        <v>1.049255441</v>
      </c>
      <c r="J584" s="81">
        <f t="shared" si="2"/>
        <v>0.4879821129</v>
      </c>
    </row>
    <row r="585">
      <c r="A585" s="88">
        <v>44684.0</v>
      </c>
      <c r="B585" s="89">
        <v>2384.0</v>
      </c>
      <c r="C585" s="89">
        <v>3.0</v>
      </c>
      <c r="D585" s="87" t="s">
        <v>204</v>
      </c>
      <c r="E585" s="89">
        <v>0.0</v>
      </c>
      <c r="F585" s="89">
        <v>0.1242</v>
      </c>
      <c r="G585" s="89">
        <v>0.0606</v>
      </c>
      <c r="H585" s="87" t="s">
        <v>230</v>
      </c>
      <c r="I585" s="90">
        <f t="shared" si="1"/>
        <v>1.04950495</v>
      </c>
      <c r="J585" s="81">
        <f t="shared" si="2"/>
        <v>0.4879227053</v>
      </c>
    </row>
    <row r="586">
      <c r="A586" s="88">
        <v>44684.0</v>
      </c>
      <c r="B586" s="89">
        <v>2343.0</v>
      </c>
      <c r="C586" s="89">
        <v>2.0</v>
      </c>
      <c r="D586" s="87" t="s">
        <v>204</v>
      </c>
      <c r="E586" s="89">
        <v>1.0</v>
      </c>
      <c r="F586" s="89">
        <v>0.1471</v>
      </c>
      <c r="G586" s="89">
        <v>0.0716</v>
      </c>
      <c r="H586" s="87" t="s">
        <v>230</v>
      </c>
      <c r="I586" s="90">
        <f t="shared" si="1"/>
        <v>1.054469274</v>
      </c>
      <c r="J586" s="81">
        <f t="shared" si="2"/>
        <v>0.4867437118</v>
      </c>
    </row>
    <row r="587">
      <c r="A587" s="88">
        <v>44684.0</v>
      </c>
      <c r="B587" s="89">
        <v>2365.0</v>
      </c>
      <c r="C587" s="89">
        <v>2.0</v>
      </c>
      <c r="D587" s="87" t="s">
        <v>204</v>
      </c>
      <c r="E587" s="89">
        <v>0.0</v>
      </c>
      <c r="F587" s="89">
        <v>0.0681</v>
      </c>
      <c r="G587" s="89">
        <v>0.0331</v>
      </c>
      <c r="H587" s="87" t="s">
        <v>230</v>
      </c>
      <c r="I587" s="90">
        <f t="shared" si="1"/>
        <v>1.057401813</v>
      </c>
      <c r="J587" s="81">
        <f t="shared" si="2"/>
        <v>0.4860499266</v>
      </c>
    </row>
    <row r="588">
      <c r="A588" s="88">
        <v>44684.0</v>
      </c>
      <c r="B588" s="89">
        <v>2367.0</v>
      </c>
      <c r="C588" s="89">
        <v>1.0</v>
      </c>
      <c r="D588" s="87" t="s">
        <v>204</v>
      </c>
      <c r="E588" s="89">
        <v>0.0</v>
      </c>
      <c r="F588" s="89">
        <v>0.0469</v>
      </c>
      <c r="G588" s="89">
        <v>0.0227</v>
      </c>
      <c r="H588" s="87" t="s">
        <v>230</v>
      </c>
      <c r="I588" s="90">
        <f t="shared" si="1"/>
        <v>1.066079295</v>
      </c>
      <c r="J588" s="81">
        <f t="shared" si="2"/>
        <v>0.4840085288</v>
      </c>
    </row>
    <row r="589">
      <c r="A589" s="88">
        <v>44684.0</v>
      </c>
      <c r="B589" s="89">
        <v>2081.0</v>
      </c>
      <c r="C589" s="89">
        <v>2.0</v>
      </c>
      <c r="D589" s="87" t="s">
        <v>204</v>
      </c>
      <c r="E589" s="89">
        <v>0.0</v>
      </c>
      <c r="F589" s="89">
        <v>0.0715</v>
      </c>
      <c r="G589" s="89">
        <v>0.0346</v>
      </c>
      <c r="H589" s="87" t="s">
        <v>230</v>
      </c>
      <c r="I589" s="90">
        <f t="shared" si="1"/>
        <v>1.066473988</v>
      </c>
      <c r="J589" s="81">
        <f t="shared" si="2"/>
        <v>0.4839160839</v>
      </c>
    </row>
    <row r="590">
      <c r="A590" s="88">
        <v>44684.0</v>
      </c>
      <c r="B590" s="89">
        <v>2343.0</v>
      </c>
      <c r="C590" s="89">
        <v>1.0</v>
      </c>
      <c r="D590" s="87" t="s">
        <v>204</v>
      </c>
      <c r="E590" s="89">
        <v>0.0</v>
      </c>
      <c r="F590" s="89">
        <v>0.8364</v>
      </c>
      <c r="G590" s="89">
        <v>0.4013</v>
      </c>
      <c r="H590" s="87" t="s">
        <v>230</v>
      </c>
      <c r="I590" s="90">
        <f t="shared" si="1"/>
        <v>1.084226265</v>
      </c>
      <c r="J590" s="81">
        <f t="shared" si="2"/>
        <v>0.4797943568</v>
      </c>
    </row>
    <row r="591">
      <c r="A591" s="88">
        <v>44684.0</v>
      </c>
      <c r="B591" s="89">
        <v>2367.0</v>
      </c>
      <c r="C591" s="89">
        <v>3.0</v>
      </c>
      <c r="D591" s="87" t="s">
        <v>204</v>
      </c>
      <c r="E591" s="89">
        <v>0.0</v>
      </c>
      <c r="F591" s="89">
        <v>0.0584</v>
      </c>
      <c r="G591" s="89">
        <v>0.028</v>
      </c>
      <c r="H591" s="87" t="s">
        <v>230</v>
      </c>
      <c r="I591" s="90">
        <f t="shared" si="1"/>
        <v>1.085714286</v>
      </c>
      <c r="J591" s="81">
        <f t="shared" si="2"/>
        <v>0.4794520548</v>
      </c>
    </row>
    <row r="592">
      <c r="A592" s="88">
        <v>44684.0</v>
      </c>
      <c r="B592" s="89">
        <v>2367.0</v>
      </c>
      <c r="C592" s="89">
        <v>3.0</v>
      </c>
      <c r="D592" s="87" t="s">
        <v>205</v>
      </c>
      <c r="E592" s="89">
        <v>0.0</v>
      </c>
      <c r="F592" s="89">
        <v>0.6539</v>
      </c>
      <c r="G592" s="89">
        <v>0.312</v>
      </c>
      <c r="H592" s="87" t="s">
        <v>230</v>
      </c>
      <c r="I592" s="90">
        <f t="shared" si="1"/>
        <v>1.095833333</v>
      </c>
      <c r="J592" s="81">
        <f t="shared" si="2"/>
        <v>0.4771371769</v>
      </c>
    </row>
    <row r="593">
      <c r="A593" s="88">
        <v>44684.0</v>
      </c>
      <c r="B593" s="89">
        <v>2009.0</v>
      </c>
      <c r="C593" s="89">
        <v>1.0</v>
      </c>
      <c r="D593" s="87" t="s">
        <v>204</v>
      </c>
      <c r="E593" s="89">
        <v>0.0</v>
      </c>
      <c r="F593" s="89">
        <v>0.1373</v>
      </c>
      <c r="G593" s="89">
        <v>0.0653</v>
      </c>
      <c r="H593" s="87" t="s">
        <v>230</v>
      </c>
      <c r="I593" s="90">
        <f t="shared" si="1"/>
        <v>1.102603369</v>
      </c>
      <c r="J593" s="81">
        <f t="shared" si="2"/>
        <v>0.475600874</v>
      </c>
    </row>
    <row r="594">
      <c r="A594" s="88">
        <v>44684.0</v>
      </c>
      <c r="B594" s="89">
        <v>2010.0</v>
      </c>
      <c r="C594" s="89">
        <v>1.0</v>
      </c>
      <c r="D594" s="87" t="s">
        <v>204</v>
      </c>
      <c r="E594" s="89">
        <v>0.0</v>
      </c>
      <c r="F594" s="89">
        <v>0.2798</v>
      </c>
      <c r="G594" s="89">
        <v>0.1316</v>
      </c>
      <c r="H594" s="87" t="s">
        <v>230</v>
      </c>
      <c r="I594" s="90">
        <f t="shared" si="1"/>
        <v>1.126139818</v>
      </c>
      <c r="J594" s="81">
        <f t="shared" si="2"/>
        <v>0.4703359543</v>
      </c>
    </row>
    <row r="595">
      <c r="A595" s="88">
        <v>44684.0</v>
      </c>
      <c r="B595" s="89">
        <v>2010.0</v>
      </c>
      <c r="C595" s="89">
        <v>2.0</v>
      </c>
      <c r="D595" s="87" t="s">
        <v>204</v>
      </c>
      <c r="E595" s="89">
        <v>0.0</v>
      </c>
      <c r="F595" s="89">
        <v>0.1451</v>
      </c>
      <c r="G595" s="89">
        <v>0.0681</v>
      </c>
      <c r="H595" s="87" t="s">
        <v>230</v>
      </c>
      <c r="I595" s="90">
        <f t="shared" si="1"/>
        <v>1.130690162</v>
      </c>
      <c r="J595" s="81">
        <f t="shared" si="2"/>
        <v>0.4693314955</v>
      </c>
    </row>
    <row r="596">
      <c r="A596" s="88">
        <v>44684.0</v>
      </c>
      <c r="B596" s="89">
        <v>2346.0</v>
      </c>
      <c r="C596" s="89">
        <v>3.0</v>
      </c>
      <c r="D596" s="87" t="s">
        <v>204</v>
      </c>
      <c r="E596" s="89">
        <v>0.0</v>
      </c>
      <c r="F596" s="89">
        <v>0.0361</v>
      </c>
      <c r="G596" s="89">
        <v>0.0169</v>
      </c>
      <c r="H596" s="87" t="s">
        <v>230</v>
      </c>
      <c r="I596" s="90">
        <f t="shared" si="1"/>
        <v>1.136094675</v>
      </c>
      <c r="J596" s="81">
        <f t="shared" si="2"/>
        <v>0.4681440443</v>
      </c>
    </row>
    <row r="597">
      <c r="A597" s="88">
        <v>44684.0</v>
      </c>
      <c r="B597" s="89">
        <v>2367.0</v>
      </c>
      <c r="C597" s="89">
        <v>1.0</v>
      </c>
      <c r="D597" s="87" t="s">
        <v>205</v>
      </c>
      <c r="E597" s="89">
        <v>0.0</v>
      </c>
      <c r="F597" s="89">
        <v>0.8544</v>
      </c>
      <c r="G597" s="89">
        <v>0.3987</v>
      </c>
      <c r="H597" s="87" t="s">
        <v>230</v>
      </c>
      <c r="I597" s="90">
        <f t="shared" si="1"/>
        <v>1.142964635</v>
      </c>
      <c r="J597" s="81">
        <f t="shared" si="2"/>
        <v>0.4666432584</v>
      </c>
    </row>
    <row r="598">
      <c r="A598" s="88">
        <v>44684.0</v>
      </c>
      <c r="B598" s="89">
        <v>2346.0</v>
      </c>
      <c r="C598" s="89">
        <v>1.0</v>
      </c>
      <c r="D598" s="87" t="s">
        <v>204</v>
      </c>
      <c r="E598" s="89">
        <v>0.0</v>
      </c>
      <c r="F598" s="89">
        <v>0.0568</v>
      </c>
      <c r="G598" s="89">
        <v>0.0264</v>
      </c>
      <c r="H598" s="87" t="s">
        <v>230</v>
      </c>
      <c r="I598" s="90">
        <f t="shared" si="1"/>
        <v>1.151515152</v>
      </c>
      <c r="J598" s="81">
        <f t="shared" si="2"/>
        <v>0.4647887324</v>
      </c>
    </row>
    <row r="599">
      <c r="A599" s="88">
        <v>44684.0</v>
      </c>
      <c r="B599" s="89">
        <v>2343.0</v>
      </c>
      <c r="C599" s="89">
        <v>2.0</v>
      </c>
      <c r="D599" s="87" t="s">
        <v>204</v>
      </c>
      <c r="E599" s="89">
        <v>0.0</v>
      </c>
      <c r="F599" s="89">
        <v>0.2143</v>
      </c>
      <c r="G599" s="89">
        <v>0.0996</v>
      </c>
      <c r="H599" s="87" t="s">
        <v>230</v>
      </c>
      <c r="I599" s="90">
        <f t="shared" si="1"/>
        <v>1.151606426</v>
      </c>
      <c r="J599" s="81">
        <f t="shared" si="2"/>
        <v>0.4647690154</v>
      </c>
    </row>
    <row r="600">
      <c r="A600" s="88">
        <v>44684.0</v>
      </c>
      <c r="B600" s="89">
        <v>2009.0</v>
      </c>
      <c r="C600" s="89">
        <v>2.0</v>
      </c>
      <c r="D600" s="87" t="s">
        <v>204</v>
      </c>
      <c r="E600" s="89">
        <v>0.0</v>
      </c>
      <c r="F600" s="89">
        <v>0.2143</v>
      </c>
      <c r="G600" s="89">
        <v>0.0993</v>
      </c>
      <c r="H600" s="87" t="s">
        <v>230</v>
      </c>
      <c r="I600" s="90">
        <f t="shared" si="1"/>
        <v>1.158106747</v>
      </c>
      <c r="J600" s="81">
        <f t="shared" si="2"/>
        <v>0.4633691087</v>
      </c>
    </row>
    <row r="601">
      <c r="A601" s="88">
        <v>44684.0</v>
      </c>
      <c r="B601" s="89">
        <v>2364.0</v>
      </c>
      <c r="C601" s="89">
        <v>3.0</v>
      </c>
      <c r="D601" s="87" t="s">
        <v>204</v>
      </c>
      <c r="E601" s="89">
        <v>0.0</v>
      </c>
      <c r="F601" s="89">
        <v>0.0868</v>
      </c>
      <c r="G601" s="89">
        <v>0.0395</v>
      </c>
      <c r="H601" s="87" t="s">
        <v>230</v>
      </c>
      <c r="I601" s="90">
        <f t="shared" si="1"/>
        <v>1.197468354</v>
      </c>
      <c r="J601" s="81">
        <f t="shared" si="2"/>
        <v>0.4550691244</v>
      </c>
    </row>
    <row r="602">
      <c r="A602" s="88">
        <v>44684.0</v>
      </c>
      <c r="B602" s="89">
        <v>2010.0</v>
      </c>
      <c r="C602" s="89">
        <v>3.0</v>
      </c>
      <c r="D602" s="87" t="s">
        <v>204</v>
      </c>
      <c r="E602" s="89">
        <v>0.0</v>
      </c>
      <c r="F602" s="89">
        <v>0.1511</v>
      </c>
      <c r="G602" s="89">
        <v>0.0687</v>
      </c>
      <c r="H602" s="87" t="s">
        <v>230</v>
      </c>
      <c r="I602" s="90">
        <f t="shared" si="1"/>
        <v>1.199417758</v>
      </c>
      <c r="J602" s="81">
        <f t="shared" si="2"/>
        <v>0.4546657842</v>
      </c>
    </row>
    <row r="603">
      <c r="A603" s="88">
        <v>44684.0</v>
      </c>
      <c r="B603" s="89">
        <v>2365.0</v>
      </c>
      <c r="C603" s="89">
        <v>1.0</v>
      </c>
      <c r="D603" s="87" t="s">
        <v>204</v>
      </c>
      <c r="E603" s="89">
        <v>0.0</v>
      </c>
      <c r="F603" s="89">
        <v>0.0738</v>
      </c>
      <c r="G603" s="89">
        <v>0.031</v>
      </c>
      <c r="H603" s="87" t="s">
        <v>230</v>
      </c>
      <c r="I603" s="90">
        <f t="shared" si="1"/>
        <v>1.380645161</v>
      </c>
      <c r="J603" s="81">
        <f t="shared" si="2"/>
        <v>0.4200542005</v>
      </c>
    </row>
    <row r="604">
      <c r="A604" s="88">
        <v>44684.0</v>
      </c>
      <c r="B604" s="89">
        <v>2081.0</v>
      </c>
      <c r="C604" s="89">
        <v>3.0</v>
      </c>
      <c r="D604" s="87" t="s">
        <v>204</v>
      </c>
      <c r="E604" s="89">
        <v>0.0</v>
      </c>
      <c r="F604" s="89">
        <v>0.1593</v>
      </c>
      <c r="G604" s="89">
        <v>0.0609</v>
      </c>
      <c r="H604" s="87" t="s">
        <v>230</v>
      </c>
      <c r="I604" s="90">
        <f t="shared" si="1"/>
        <v>1.615763547</v>
      </c>
      <c r="J604" s="81">
        <f t="shared" si="2"/>
        <v>0.3822975518</v>
      </c>
    </row>
    <row r="605">
      <c r="A605" s="88">
        <v>44685.0</v>
      </c>
      <c r="B605" s="89">
        <v>2352.0</v>
      </c>
      <c r="C605" s="89">
        <v>3.0</v>
      </c>
      <c r="D605" s="87" t="s">
        <v>205</v>
      </c>
      <c r="E605" s="89">
        <v>1.0</v>
      </c>
      <c r="F605" s="89">
        <v>0.458</v>
      </c>
      <c r="G605" s="89">
        <v>0.2947</v>
      </c>
      <c r="H605" s="98"/>
      <c r="I605" s="90">
        <f t="shared" si="1"/>
        <v>0.5541228368</v>
      </c>
      <c r="J605" s="81">
        <f t="shared" si="2"/>
        <v>0.6434497817</v>
      </c>
    </row>
    <row r="606">
      <c r="A606" s="88">
        <v>44685.0</v>
      </c>
      <c r="B606" s="89">
        <v>2380.0</v>
      </c>
      <c r="C606" s="89">
        <v>2.0</v>
      </c>
      <c r="D606" s="87" t="s">
        <v>205</v>
      </c>
      <c r="E606" s="89">
        <v>1.0</v>
      </c>
      <c r="F606" s="89">
        <v>2.217</v>
      </c>
      <c r="G606" s="89">
        <v>1.4172</v>
      </c>
      <c r="H606" s="98"/>
      <c r="I606" s="90">
        <f t="shared" si="1"/>
        <v>0.5643522439</v>
      </c>
      <c r="J606" s="81">
        <f t="shared" si="2"/>
        <v>0.6392422192</v>
      </c>
    </row>
    <row r="607">
      <c r="A607" s="88">
        <v>44685.0</v>
      </c>
      <c r="B607" s="89">
        <v>2380.0</v>
      </c>
      <c r="C607" s="89">
        <v>1.0</v>
      </c>
      <c r="D607" s="87" t="s">
        <v>205</v>
      </c>
      <c r="E607" s="89">
        <v>1.0</v>
      </c>
      <c r="F607" s="89">
        <v>2.4192</v>
      </c>
      <c r="G607" s="89">
        <v>1.5249</v>
      </c>
      <c r="H607" s="98"/>
      <c r="I607" s="90">
        <f t="shared" si="1"/>
        <v>0.5864646862</v>
      </c>
      <c r="J607" s="81">
        <f t="shared" si="2"/>
        <v>0.6303323413</v>
      </c>
    </row>
    <row r="608">
      <c r="A608" s="88">
        <v>44685.0</v>
      </c>
      <c r="B608" s="89">
        <v>2331.0</v>
      </c>
      <c r="C608" s="89">
        <v>3.0</v>
      </c>
      <c r="D608" s="87" t="s">
        <v>205</v>
      </c>
      <c r="E608" s="89">
        <v>1.0</v>
      </c>
      <c r="F608" s="89">
        <v>1.6048</v>
      </c>
      <c r="G608" s="89">
        <v>1.0087</v>
      </c>
      <c r="H608" s="98"/>
      <c r="I608" s="90">
        <f t="shared" si="1"/>
        <v>0.5909586597</v>
      </c>
      <c r="J608" s="81">
        <f t="shared" si="2"/>
        <v>0.6285518445</v>
      </c>
    </row>
    <row r="609">
      <c r="A609" s="88">
        <v>44685.0</v>
      </c>
      <c r="B609" s="89">
        <v>2352.0</v>
      </c>
      <c r="C609" s="89">
        <v>1.0</v>
      </c>
      <c r="D609" s="87" t="s">
        <v>205</v>
      </c>
      <c r="E609" s="89">
        <v>1.0</v>
      </c>
      <c r="F609" s="89">
        <v>0.563</v>
      </c>
      <c r="G609" s="89">
        <v>0.3534</v>
      </c>
      <c r="H609" s="98"/>
      <c r="I609" s="90">
        <f t="shared" si="1"/>
        <v>0.5930956423</v>
      </c>
      <c r="J609" s="81">
        <f t="shared" si="2"/>
        <v>0.6277087034</v>
      </c>
    </row>
    <row r="610">
      <c r="A610" s="88">
        <v>44685.0</v>
      </c>
      <c r="B610" s="89">
        <v>2331.0</v>
      </c>
      <c r="C610" s="89">
        <v>2.0</v>
      </c>
      <c r="D610" s="87" t="s">
        <v>205</v>
      </c>
      <c r="E610" s="89">
        <v>1.0</v>
      </c>
      <c r="F610" s="89">
        <v>1.0574</v>
      </c>
      <c r="G610" s="89">
        <v>0.6598</v>
      </c>
      <c r="H610" s="98"/>
      <c r="I610" s="90">
        <f t="shared" si="1"/>
        <v>0.6026068506</v>
      </c>
      <c r="J610" s="81">
        <f t="shared" si="2"/>
        <v>0.6239833554</v>
      </c>
    </row>
    <row r="611">
      <c r="A611" s="88">
        <v>44685.0</v>
      </c>
      <c r="B611" s="89">
        <v>2377.0</v>
      </c>
      <c r="C611" s="89">
        <v>3.0</v>
      </c>
      <c r="D611" s="87" t="s">
        <v>205</v>
      </c>
      <c r="E611" s="89">
        <v>1.0</v>
      </c>
      <c r="F611" s="89">
        <v>1.1489</v>
      </c>
      <c r="G611" s="89">
        <v>0.7058</v>
      </c>
      <c r="H611" s="98"/>
      <c r="I611" s="90">
        <f t="shared" si="1"/>
        <v>0.6277982431</v>
      </c>
      <c r="J611" s="81">
        <f t="shared" si="2"/>
        <v>0.6143267473</v>
      </c>
    </row>
    <row r="612">
      <c r="A612" s="88">
        <v>44685.0</v>
      </c>
      <c r="B612" s="89">
        <v>2352.0</v>
      </c>
      <c r="C612" s="89">
        <v>2.0</v>
      </c>
      <c r="D612" s="87" t="s">
        <v>205</v>
      </c>
      <c r="E612" s="89">
        <v>1.0</v>
      </c>
      <c r="F612" s="89">
        <v>0.6096</v>
      </c>
      <c r="G612" s="89">
        <v>0.372</v>
      </c>
      <c r="H612" s="98"/>
      <c r="I612" s="90">
        <f t="shared" si="1"/>
        <v>0.6387096774</v>
      </c>
      <c r="J612" s="81">
        <f t="shared" si="2"/>
        <v>0.6102362205</v>
      </c>
    </row>
    <row r="613">
      <c r="A613" s="88">
        <v>44685.0</v>
      </c>
      <c r="B613" s="89">
        <v>2380.0</v>
      </c>
      <c r="C613" s="89">
        <v>3.0</v>
      </c>
      <c r="D613" s="87" t="s">
        <v>205</v>
      </c>
      <c r="E613" s="89">
        <v>1.0</v>
      </c>
      <c r="F613" s="89">
        <v>0.9841</v>
      </c>
      <c r="G613" s="89">
        <v>0.5995</v>
      </c>
      <c r="H613" s="98"/>
      <c r="I613" s="90">
        <f t="shared" si="1"/>
        <v>0.6415346122</v>
      </c>
      <c r="J613" s="81">
        <f t="shared" si="2"/>
        <v>0.6091860583</v>
      </c>
    </row>
    <row r="614">
      <c r="A614" s="88">
        <v>44685.0</v>
      </c>
      <c r="B614" s="89">
        <v>2331.0</v>
      </c>
      <c r="C614" s="89">
        <v>1.0</v>
      </c>
      <c r="D614" s="87" t="s">
        <v>205</v>
      </c>
      <c r="E614" s="89">
        <v>1.0</v>
      </c>
      <c r="F614" s="89">
        <v>1.9995</v>
      </c>
      <c r="G614" s="89">
        <v>1.2164</v>
      </c>
      <c r="H614" s="98"/>
      <c r="I614" s="90">
        <f t="shared" si="1"/>
        <v>0.6437849392</v>
      </c>
      <c r="J614" s="81">
        <f t="shared" si="2"/>
        <v>0.608352088</v>
      </c>
    </row>
    <row r="615">
      <c r="A615" s="88">
        <v>44685.0</v>
      </c>
      <c r="B615" s="89">
        <v>2301.0</v>
      </c>
      <c r="C615" s="89">
        <v>1.0</v>
      </c>
      <c r="D615" s="87" t="s">
        <v>205</v>
      </c>
      <c r="E615" s="89">
        <v>1.0</v>
      </c>
      <c r="F615" s="89">
        <v>2.6315</v>
      </c>
      <c r="G615" s="89">
        <v>1.5956</v>
      </c>
      <c r="H615" s="98"/>
      <c r="I615" s="90">
        <f t="shared" si="1"/>
        <v>0.6492228629</v>
      </c>
      <c r="J615" s="81">
        <f t="shared" si="2"/>
        <v>0.6063461904</v>
      </c>
    </row>
    <row r="616">
      <c r="A616" s="88">
        <v>44685.0</v>
      </c>
      <c r="B616" s="89">
        <v>2380.0</v>
      </c>
      <c r="C616" s="89">
        <v>1.0</v>
      </c>
      <c r="D616" s="87" t="s">
        <v>204</v>
      </c>
      <c r="E616" s="89">
        <v>1.0</v>
      </c>
      <c r="F616" s="89">
        <v>0.3729</v>
      </c>
      <c r="G616" s="89">
        <v>0.2247</v>
      </c>
      <c r="H616" s="98"/>
      <c r="I616" s="90">
        <f t="shared" si="1"/>
        <v>0.6595460614</v>
      </c>
      <c r="J616" s="81">
        <f t="shared" si="2"/>
        <v>0.6025744167</v>
      </c>
    </row>
    <row r="617">
      <c r="A617" s="88">
        <v>44685.0</v>
      </c>
      <c r="B617" s="89">
        <v>2301.0</v>
      </c>
      <c r="C617" s="89">
        <v>3.0</v>
      </c>
      <c r="D617" s="87" t="s">
        <v>205</v>
      </c>
      <c r="E617" s="89">
        <v>1.0</v>
      </c>
      <c r="F617" s="89">
        <v>2.3647</v>
      </c>
      <c r="G617" s="89">
        <v>1.4143</v>
      </c>
      <c r="H617" s="98"/>
      <c r="I617" s="90">
        <f t="shared" si="1"/>
        <v>0.6719932122</v>
      </c>
      <c r="J617" s="81">
        <f t="shared" si="2"/>
        <v>0.5980885525</v>
      </c>
    </row>
    <row r="618">
      <c r="A618" s="88">
        <v>44685.0</v>
      </c>
      <c r="B618" s="89">
        <v>2331.0</v>
      </c>
      <c r="C618" s="89">
        <v>1.0</v>
      </c>
      <c r="D618" s="87" t="s">
        <v>204</v>
      </c>
      <c r="E618" s="89">
        <v>1.0</v>
      </c>
      <c r="F618" s="89">
        <v>0.3237</v>
      </c>
      <c r="G618" s="89">
        <v>0.1932</v>
      </c>
      <c r="H618" s="98"/>
      <c r="I618" s="90">
        <f t="shared" si="1"/>
        <v>0.6754658385</v>
      </c>
      <c r="J618" s="81">
        <f t="shared" si="2"/>
        <v>0.5968489342</v>
      </c>
    </row>
    <row r="619">
      <c r="A619" s="88">
        <v>44685.0</v>
      </c>
      <c r="B619" s="89">
        <v>2345.0</v>
      </c>
      <c r="C619" s="89">
        <v>1.0</v>
      </c>
      <c r="D619" s="87" t="s">
        <v>205</v>
      </c>
      <c r="E619" s="89">
        <v>1.0</v>
      </c>
      <c r="F619" s="89">
        <v>0.9864</v>
      </c>
      <c r="G619" s="89">
        <v>0.5879</v>
      </c>
      <c r="H619" s="98"/>
      <c r="I619" s="90">
        <f t="shared" si="1"/>
        <v>0.6778363667</v>
      </c>
      <c r="J619" s="81">
        <f t="shared" si="2"/>
        <v>0.5960056772</v>
      </c>
    </row>
    <row r="620">
      <c r="A620" s="88">
        <v>44685.0</v>
      </c>
      <c r="B620" s="89">
        <v>2345.0</v>
      </c>
      <c r="C620" s="89">
        <v>2.0</v>
      </c>
      <c r="D620" s="87" t="s">
        <v>205</v>
      </c>
      <c r="E620" s="89">
        <v>1.0</v>
      </c>
      <c r="F620" s="89">
        <v>1.3682</v>
      </c>
      <c r="G620" s="89">
        <v>0.8126</v>
      </c>
      <c r="H620" s="98"/>
      <c r="I620" s="90">
        <f t="shared" si="1"/>
        <v>0.6837312331</v>
      </c>
      <c r="J620" s="81">
        <f t="shared" si="2"/>
        <v>0.5939190177</v>
      </c>
    </row>
    <row r="621">
      <c r="A621" s="88">
        <v>44685.0</v>
      </c>
      <c r="B621" s="89">
        <v>2354.0</v>
      </c>
      <c r="C621" s="89">
        <v>2.0</v>
      </c>
      <c r="D621" s="87" t="s">
        <v>205</v>
      </c>
      <c r="E621" s="89">
        <v>1.0</v>
      </c>
      <c r="F621" s="89">
        <v>0.9092</v>
      </c>
      <c r="G621" s="89">
        <v>0.5397</v>
      </c>
      <c r="H621" s="98"/>
      <c r="I621" s="90">
        <f t="shared" si="1"/>
        <v>0.6846396146</v>
      </c>
      <c r="J621" s="81">
        <f t="shared" si="2"/>
        <v>0.5935987681</v>
      </c>
    </row>
    <row r="622">
      <c r="A622" s="88">
        <v>44685.0</v>
      </c>
      <c r="B622" s="89">
        <v>2360.0</v>
      </c>
      <c r="C622" s="89">
        <v>1.0</v>
      </c>
      <c r="D622" s="87" t="s">
        <v>204</v>
      </c>
      <c r="E622" s="89">
        <v>0.0</v>
      </c>
      <c r="F622" s="89">
        <v>0.0501</v>
      </c>
      <c r="G622" s="89">
        <v>0.0296</v>
      </c>
      <c r="H622" s="98"/>
      <c r="I622" s="90">
        <f t="shared" si="1"/>
        <v>0.6925675676</v>
      </c>
      <c r="J622" s="81">
        <f t="shared" si="2"/>
        <v>0.5908183633</v>
      </c>
    </row>
    <row r="623">
      <c r="A623" s="88">
        <v>44685.0</v>
      </c>
      <c r="B623" s="89">
        <v>2354.0</v>
      </c>
      <c r="C623" s="89">
        <v>1.0</v>
      </c>
      <c r="D623" s="87" t="s">
        <v>205</v>
      </c>
      <c r="E623" s="89">
        <v>1.0</v>
      </c>
      <c r="F623" s="89">
        <v>1.0381</v>
      </c>
      <c r="G623" s="89">
        <v>0.6125</v>
      </c>
      <c r="H623" s="98"/>
      <c r="I623" s="90">
        <f t="shared" si="1"/>
        <v>0.6948571429</v>
      </c>
      <c r="J623" s="81">
        <f t="shared" si="2"/>
        <v>0.5900202293</v>
      </c>
    </row>
    <row r="624">
      <c r="A624" s="88">
        <v>44685.0</v>
      </c>
      <c r="B624" s="89">
        <v>2377.0</v>
      </c>
      <c r="C624" s="89">
        <v>1.0</v>
      </c>
      <c r="D624" s="87" t="s">
        <v>205</v>
      </c>
      <c r="E624" s="89">
        <v>1.0</v>
      </c>
      <c r="F624" s="89">
        <v>1.9358</v>
      </c>
      <c r="G624" s="89">
        <v>1.1383</v>
      </c>
      <c r="H624" s="98"/>
      <c r="I624" s="90">
        <f t="shared" si="1"/>
        <v>0.7006061671</v>
      </c>
      <c r="J624" s="81">
        <f t="shared" si="2"/>
        <v>0.5880256225</v>
      </c>
    </row>
    <row r="625">
      <c r="A625" s="88">
        <v>44685.0</v>
      </c>
      <c r="B625" s="89">
        <v>2352.0</v>
      </c>
      <c r="C625" s="89">
        <v>3.0</v>
      </c>
      <c r="D625" s="87" t="s">
        <v>204</v>
      </c>
      <c r="E625" s="89">
        <v>0.0</v>
      </c>
      <c r="F625" s="89">
        <v>0.0999</v>
      </c>
      <c r="G625" s="89">
        <v>0.0585</v>
      </c>
      <c r="H625" s="98"/>
      <c r="I625" s="90">
        <f t="shared" si="1"/>
        <v>0.7076923077</v>
      </c>
      <c r="J625" s="81">
        <f t="shared" si="2"/>
        <v>0.5855855856</v>
      </c>
    </row>
    <row r="626">
      <c r="A626" s="88">
        <v>44685.0</v>
      </c>
      <c r="B626" s="89">
        <v>2301.0</v>
      </c>
      <c r="C626" s="89">
        <v>2.0</v>
      </c>
      <c r="D626" s="87" t="s">
        <v>205</v>
      </c>
      <c r="E626" s="89">
        <v>1.0</v>
      </c>
      <c r="F626" s="89">
        <v>1.6757</v>
      </c>
      <c r="G626" s="89">
        <v>0.9784</v>
      </c>
      <c r="H626" s="98"/>
      <c r="I626" s="90">
        <f t="shared" si="1"/>
        <v>0.7126941946</v>
      </c>
      <c r="J626" s="81">
        <f t="shared" si="2"/>
        <v>0.5838753954</v>
      </c>
    </row>
    <row r="627">
      <c r="A627" s="88">
        <v>44685.0</v>
      </c>
      <c r="B627" s="89">
        <v>2331.0</v>
      </c>
      <c r="C627" s="89">
        <v>3.0</v>
      </c>
      <c r="D627" s="87" t="s">
        <v>204</v>
      </c>
      <c r="E627" s="89">
        <v>1.0</v>
      </c>
      <c r="F627" s="89">
        <v>0.2568</v>
      </c>
      <c r="G627" s="89">
        <v>0.1482</v>
      </c>
      <c r="H627" s="98"/>
      <c r="I627" s="90">
        <f t="shared" si="1"/>
        <v>0.7327935223</v>
      </c>
      <c r="J627" s="81">
        <f t="shared" si="2"/>
        <v>0.5771028037</v>
      </c>
    </row>
    <row r="628">
      <c r="A628" s="88">
        <v>44685.0</v>
      </c>
      <c r="B628" s="89">
        <v>2380.0</v>
      </c>
      <c r="C628" s="89">
        <v>2.0</v>
      </c>
      <c r="D628" s="87" t="s">
        <v>204</v>
      </c>
      <c r="E628" s="89">
        <v>1.0</v>
      </c>
      <c r="F628" s="89">
        <v>0.4747</v>
      </c>
      <c r="G628" s="89">
        <v>0.2734</v>
      </c>
      <c r="H628" s="98"/>
      <c r="I628" s="90">
        <f t="shared" si="1"/>
        <v>0.7362838332</v>
      </c>
      <c r="J628" s="81">
        <f t="shared" si="2"/>
        <v>0.5759427007</v>
      </c>
    </row>
    <row r="629">
      <c r="A629" s="88">
        <v>44685.0</v>
      </c>
      <c r="B629" s="89">
        <v>2354.0</v>
      </c>
      <c r="C629" s="89">
        <v>3.0</v>
      </c>
      <c r="D629" s="87" t="s">
        <v>205</v>
      </c>
      <c r="E629" s="89">
        <v>1.0</v>
      </c>
      <c r="F629" s="89">
        <v>0.4324</v>
      </c>
      <c r="G629" s="89">
        <v>0.2488</v>
      </c>
      <c r="H629" s="98"/>
      <c r="I629" s="90">
        <f t="shared" si="1"/>
        <v>0.7379421222</v>
      </c>
      <c r="J629" s="81">
        <f t="shared" si="2"/>
        <v>0.5753931545</v>
      </c>
    </row>
    <row r="630">
      <c r="A630" s="88">
        <v>44685.0</v>
      </c>
      <c r="B630" s="89">
        <v>2380.0</v>
      </c>
      <c r="C630" s="89">
        <v>3.0</v>
      </c>
      <c r="D630" s="87" t="s">
        <v>204</v>
      </c>
      <c r="E630" s="89">
        <v>1.0</v>
      </c>
      <c r="F630" s="89">
        <v>0.2211</v>
      </c>
      <c r="G630" s="89">
        <v>0.1268</v>
      </c>
      <c r="H630" s="98"/>
      <c r="I630" s="90">
        <f t="shared" si="1"/>
        <v>0.7436908517</v>
      </c>
      <c r="J630" s="81">
        <f t="shared" si="2"/>
        <v>0.5734961556</v>
      </c>
    </row>
    <row r="631">
      <c r="A631" s="88">
        <v>44685.0</v>
      </c>
      <c r="B631" s="89">
        <v>2345.0</v>
      </c>
      <c r="C631" s="89">
        <v>3.0</v>
      </c>
      <c r="D631" s="87" t="s">
        <v>204</v>
      </c>
      <c r="E631" s="89">
        <v>1.0</v>
      </c>
      <c r="F631" s="89">
        <v>0.1953</v>
      </c>
      <c r="G631" s="89">
        <v>0.1118</v>
      </c>
      <c r="H631" s="98"/>
      <c r="I631" s="90">
        <f t="shared" si="1"/>
        <v>0.7468694097</v>
      </c>
      <c r="J631" s="81">
        <f t="shared" si="2"/>
        <v>0.572452637</v>
      </c>
    </row>
    <row r="632">
      <c r="A632" s="88">
        <v>44685.0</v>
      </c>
      <c r="B632" s="89">
        <v>2352.0</v>
      </c>
      <c r="C632" s="89">
        <v>1.0</v>
      </c>
      <c r="D632" s="87" t="s">
        <v>204</v>
      </c>
      <c r="E632" s="89">
        <v>1.0</v>
      </c>
      <c r="F632" s="89">
        <v>0.1941</v>
      </c>
      <c r="G632" s="89">
        <v>0.1096</v>
      </c>
      <c r="H632" s="98"/>
      <c r="I632" s="90">
        <f t="shared" si="1"/>
        <v>0.7709854015</v>
      </c>
      <c r="J632" s="81">
        <f t="shared" si="2"/>
        <v>0.5646573931</v>
      </c>
    </row>
    <row r="633">
      <c r="A633" s="88">
        <v>44685.0</v>
      </c>
      <c r="B633" s="89">
        <v>2345.0</v>
      </c>
      <c r="C633" s="89">
        <v>2.0</v>
      </c>
      <c r="D633" s="87" t="s">
        <v>204</v>
      </c>
      <c r="E633" s="89">
        <v>1.0</v>
      </c>
      <c r="F633" s="89">
        <v>0.3434</v>
      </c>
      <c r="G633" s="89">
        <v>0.1907</v>
      </c>
      <c r="H633" s="98"/>
      <c r="I633" s="90">
        <f t="shared" si="1"/>
        <v>0.8007341374</v>
      </c>
      <c r="J633" s="81">
        <f t="shared" si="2"/>
        <v>0.5553290623</v>
      </c>
    </row>
    <row r="634">
      <c r="A634" s="88">
        <v>44685.0</v>
      </c>
      <c r="B634" s="89">
        <v>2371.0</v>
      </c>
      <c r="C634" s="89">
        <v>3.0</v>
      </c>
      <c r="D634" s="87" t="s">
        <v>205</v>
      </c>
      <c r="E634" s="89">
        <v>0.0</v>
      </c>
      <c r="F634" s="89">
        <v>0.7337</v>
      </c>
      <c r="G634" s="89">
        <v>0.4063</v>
      </c>
      <c r="H634" s="98"/>
      <c r="I634" s="90">
        <f t="shared" si="1"/>
        <v>0.8058085159</v>
      </c>
      <c r="J634" s="81">
        <f t="shared" si="2"/>
        <v>0.5537685703</v>
      </c>
    </row>
    <row r="635">
      <c r="A635" s="88">
        <v>44685.0</v>
      </c>
      <c r="B635" s="89">
        <v>2331.0</v>
      </c>
      <c r="C635" s="89">
        <v>2.0</v>
      </c>
      <c r="D635" s="87" t="s">
        <v>204</v>
      </c>
      <c r="E635" s="89">
        <v>1.0</v>
      </c>
      <c r="F635" s="89">
        <v>0.2737</v>
      </c>
      <c r="G635" s="89">
        <v>0.1513</v>
      </c>
      <c r="H635" s="98"/>
      <c r="I635" s="90">
        <f t="shared" si="1"/>
        <v>0.808988764</v>
      </c>
      <c r="J635" s="81">
        <f t="shared" si="2"/>
        <v>0.5527950311</v>
      </c>
    </row>
    <row r="636">
      <c r="A636" s="88">
        <v>44685.0</v>
      </c>
      <c r="B636" s="89">
        <v>2379.0</v>
      </c>
      <c r="C636" s="89">
        <v>1.0</v>
      </c>
      <c r="D636" s="87" t="s">
        <v>204</v>
      </c>
      <c r="E636" s="89">
        <v>1.0</v>
      </c>
      <c r="F636" s="89">
        <v>0.3102</v>
      </c>
      <c r="G636" s="89">
        <v>0.1708</v>
      </c>
      <c r="H636" s="98"/>
      <c r="I636" s="90">
        <f t="shared" si="1"/>
        <v>0.8161592506</v>
      </c>
      <c r="J636" s="81">
        <f t="shared" si="2"/>
        <v>0.5506125081</v>
      </c>
    </row>
    <row r="637">
      <c r="A637" s="88">
        <v>44685.0</v>
      </c>
      <c r="B637" s="89">
        <v>2360.0</v>
      </c>
      <c r="C637" s="89">
        <v>2.0</v>
      </c>
      <c r="D637" s="87" t="s">
        <v>204</v>
      </c>
      <c r="E637" s="89">
        <v>1.0</v>
      </c>
      <c r="F637" s="89">
        <v>0.2772</v>
      </c>
      <c r="G637" s="89">
        <v>0.1522</v>
      </c>
      <c r="H637" s="98"/>
      <c r="I637" s="90">
        <f t="shared" si="1"/>
        <v>0.8212877792</v>
      </c>
      <c r="J637" s="81">
        <f t="shared" si="2"/>
        <v>0.5490620491</v>
      </c>
    </row>
    <row r="638">
      <c r="A638" s="88">
        <v>44685.0</v>
      </c>
      <c r="B638" s="89">
        <v>2360.0</v>
      </c>
      <c r="C638" s="89">
        <v>1.0</v>
      </c>
      <c r="D638" s="87" t="s">
        <v>204</v>
      </c>
      <c r="E638" s="89">
        <v>1.0</v>
      </c>
      <c r="F638" s="89">
        <v>0.11</v>
      </c>
      <c r="G638" s="89">
        <v>0.0603</v>
      </c>
      <c r="H638" s="98"/>
      <c r="I638" s="90">
        <f t="shared" si="1"/>
        <v>0.824212272</v>
      </c>
      <c r="J638" s="81">
        <f t="shared" si="2"/>
        <v>0.5481818182</v>
      </c>
    </row>
    <row r="639">
      <c r="A639" s="88">
        <v>44685.0</v>
      </c>
      <c r="B639" s="89">
        <v>2345.0</v>
      </c>
      <c r="C639" s="89">
        <v>1.0</v>
      </c>
      <c r="D639" s="87" t="s">
        <v>204</v>
      </c>
      <c r="E639" s="89">
        <v>1.0</v>
      </c>
      <c r="F639" s="89">
        <v>0.3142</v>
      </c>
      <c r="G639" s="89">
        <v>0.1719</v>
      </c>
      <c r="H639" s="98"/>
      <c r="I639" s="90">
        <f t="shared" si="1"/>
        <v>0.8278068645</v>
      </c>
      <c r="J639" s="81">
        <f t="shared" si="2"/>
        <v>0.5471037556</v>
      </c>
    </row>
    <row r="640">
      <c r="A640" s="88">
        <v>44685.0</v>
      </c>
      <c r="B640" s="89">
        <v>2331.0</v>
      </c>
      <c r="C640" s="89">
        <v>2.0</v>
      </c>
      <c r="D640" s="87" t="s">
        <v>205</v>
      </c>
      <c r="E640" s="89">
        <v>0.0</v>
      </c>
      <c r="F640" s="89">
        <v>0.196</v>
      </c>
      <c r="G640" s="89">
        <v>0.1068</v>
      </c>
      <c r="H640" s="98"/>
      <c r="I640" s="90">
        <f t="shared" si="1"/>
        <v>0.8352059925</v>
      </c>
      <c r="J640" s="81">
        <f t="shared" si="2"/>
        <v>0.5448979592</v>
      </c>
    </row>
    <row r="641">
      <c r="A641" s="88">
        <v>44685.0</v>
      </c>
      <c r="B641" s="89">
        <v>2379.0</v>
      </c>
      <c r="C641" s="89">
        <v>2.0</v>
      </c>
      <c r="D641" s="87" t="s">
        <v>204</v>
      </c>
      <c r="E641" s="89">
        <v>1.0</v>
      </c>
      <c r="F641" s="89">
        <v>0.4021</v>
      </c>
      <c r="G641" s="89">
        <v>0.2187</v>
      </c>
      <c r="H641" s="98"/>
      <c r="I641" s="90">
        <f t="shared" si="1"/>
        <v>0.8385916781</v>
      </c>
      <c r="J641" s="81">
        <f t="shared" si="2"/>
        <v>0.5438945536</v>
      </c>
    </row>
    <row r="642">
      <c r="A642" s="88">
        <v>44685.0</v>
      </c>
      <c r="B642" s="89">
        <v>2379.0</v>
      </c>
      <c r="C642" s="89">
        <v>3.0</v>
      </c>
      <c r="D642" s="87" t="s">
        <v>204</v>
      </c>
      <c r="E642" s="89">
        <v>1.0</v>
      </c>
      <c r="F642" s="89">
        <v>0.1452</v>
      </c>
      <c r="G642" s="89">
        <v>0.0785</v>
      </c>
      <c r="H642" s="98"/>
      <c r="I642" s="90">
        <f t="shared" si="1"/>
        <v>0.8496815287</v>
      </c>
      <c r="J642" s="81">
        <f t="shared" si="2"/>
        <v>0.5406336088</v>
      </c>
    </row>
    <row r="643">
      <c r="A643" s="88">
        <v>44685.0</v>
      </c>
      <c r="B643" s="89">
        <v>2377.0</v>
      </c>
      <c r="C643" s="89">
        <v>2.0</v>
      </c>
      <c r="D643" s="87" t="s">
        <v>205</v>
      </c>
      <c r="E643" s="89">
        <v>1.0</v>
      </c>
      <c r="F643" s="89">
        <v>1.3244</v>
      </c>
      <c r="G643" s="89">
        <v>0.7156</v>
      </c>
      <c r="H643" s="98"/>
      <c r="I643" s="90">
        <f t="shared" si="1"/>
        <v>0.8507546115</v>
      </c>
      <c r="J643" s="81">
        <f t="shared" si="2"/>
        <v>0.540320145</v>
      </c>
    </row>
    <row r="644">
      <c r="A644" s="88">
        <v>44685.0</v>
      </c>
      <c r="B644" s="89">
        <v>2377.0</v>
      </c>
      <c r="C644" s="89">
        <v>3.0</v>
      </c>
      <c r="D644" s="87" t="s">
        <v>204</v>
      </c>
      <c r="E644" s="89">
        <v>1.0</v>
      </c>
      <c r="F644" s="89">
        <v>0.1272</v>
      </c>
      <c r="G644" s="89">
        <v>0.0687</v>
      </c>
      <c r="H644" s="98"/>
      <c r="I644" s="90">
        <f t="shared" si="1"/>
        <v>0.8515283843</v>
      </c>
      <c r="J644" s="81">
        <f t="shared" si="2"/>
        <v>0.5400943396</v>
      </c>
    </row>
    <row r="645">
      <c r="A645" s="88">
        <v>44685.0</v>
      </c>
      <c r="B645" s="89">
        <v>2378.0</v>
      </c>
      <c r="C645" s="89">
        <v>1.0</v>
      </c>
      <c r="D645" s="87" t="s">
        <v>205</v>
      </c>
      <c r="E645" s="89">
        <v>0.0</v>
      </c>
      <c r="F645" s="89">
        <v>0.6109</v>
      </c>
      <c r="G645" s="89">
        <v>0.3299</v>
      </c>
      <c r="H645" s="98"/>
      <c r="I645" s="90">
        <f t="shared" si="1"/>
        <v>0.8517732646</v>
      </c>
      <c r="J645" s="81">
        <f t="shared" si="2"/>
        <v>0.540022917</v>
      </c>
    </row>
    <row r="646">
      <c r="A646" s="88">
        <v>44685.0</v>
      </c>
      <c r="B646" s="89">
        <v>2375.0</v>
      </c>
      <c r="C646" s="89">
        <v>2.0</v>
      </c>
      <c r="D646" s="87" t="s">
        <v>204</v>
      </c>
      <c r="E646" s="89">
        <v>1.0</v>
      </c>
      <c r="F646" s="89">
        <v>0.1505</v>
      </c>
      <c r="G646" s="89">
        <v>0.0808</v>
      </c>
      <c r="H646" s="98"/>
      <c r="I646" s="90">
        <f t="shared" si="1"/>
        <v>0.8626237624</v>
      </c>
      <c r="J646" s="81">
        <f t="shared" si="2"/>
        <v>0.5368770764</v>
      </c>
    </row>
    <row r="647">
      <c r="A647" s="88">
        <v>44685.0</v>
      </c>
      <c r="B647" s="89">
        <v>2360.0</v>
      </c>
      <c r="C647" s="89">
        <v>3.0</v>
      </c>
      <c r="D647" s="87" t="s">
        <v>204</v>
      </c>
      <c r="E647" s="89">
        <v>1.0</v>
      </c>
      <c r="F647" s="89">
        <v>0.3633</v>
      </c>
      <c r="G647" s="89">
        <v>0.195</v>
      </c>
      <c r="H647" s="98"/>
      <c r="I647" s="90">
        <f t="shared" si="1"/>
        <v>0.8630769231</v>
      </c>
      <c r="J647" s="81">
        <f t="shared" si="2"/>
        <v>0.5367464905</v>
      </c>
    </row>
    <row r="648">
      <c r="A648" s="88">
        <v>44685.0</v>
      </c>
      <c r="B648" s="89">
        <v>2383.0</v>
      </c>
      <c r="C648" s="89">
        <v>3.0</v>
      </c>
      <c r="D648" s="87" t="s">
        <v>204</v>
      </c>
      <c r="E648" s="89">
        <v>1.0</v>
      </c>
      <c r="F648" s="89">
        <v>0.1499</v>
      </c>
      <c r="G648" s="89">
        <v>0.0803</v>
      </c>
      <c r="H648" s="98"/>
      <c r="I648" s="90">
        <f t="shared" si="1"/>
        <v>0.8667496887</v>
      </c>
      <c r="J648" s="81">
        <f t="shared" si="2"/>
        <v>0.5356904603</v>
      </c>
    </row>
    <row r="649">
      <c r="A649" s="88">
        <v>44685.0</v>
      </c>
      <c r="B649" s="89">
        <v>2301.0</v>
      </c>
      <c r="C649" s="89">
        <v>3.0</v>
      </c>
      <c r="D649" s="87" t="s">
        <v>204</v>
      </c>
      <c r="E649" s="89">
        <v>1.0</v>
      </c>
      <c r="F649" s="89">
        <v>0.2319</v>
      </c>
      <c r="G649" s="89">
        <v>0.123</v>
      </c>
      <c r="H649" s="98"/>
      <c r="I649" s="90">
        <f t="shared" si="1"/>
        <v>0.8853658537</v>
      </c>
      <c r="J649" s="81">
        <f t="shared" si="2"/>
        <v>0.5304010349</v>
      </c>
    </row>
    <row r="650">
      <c r="A650" s="88">
        <v>44685.0</v>
      </c>
      <c r="B650" s="89">
        <v>2354.0</v>
      </c>
      <c r="C650" s="89">
        <v>2.0</v>
      </c>
      <c r="D650" s="87" t="s">
        <v>205</v>
      </c>
      <c r="E650" s="89">
        <v>0.0</v>
      </c>
      <c r="F650" s="89">
        <v>1.2975</v>
      </c>
      <c r="G650" s="89">
        <v>0.688</v>
      </c>
      <c r="H650" s="98"/>
      <c r="I650" s="90">
        <f t="shared" si="1"/>
        <v>0.8859011628</v>
      </c>
      <c r="J650" s="81">
        <f t="shared" si="2"/>
        <v>0.5302504817</v>
      </c>
    </row>
    <row r="651">
      <c r="A651" s="88">
        <v>44685.0</v>
      </c>
      <c r="B651" s="89">
        <v>2383.0</v>
      </c>
      <c r="C651" s="89">
        <v>2.0</v>
      </c>
      <c r="D651" s="87" t="s">
        <v>205</v>
      </c>
      <c r="E651" s="89">
        <v>0.0</v>
      </c>
      <c r="F651" s="89">
        <v>0.715</v>
      </c>
      <c r="G651" s="89">
        <v>0.3791</v>
      </c>
      <c r="H651" s="98"/>
      <c r="I651" s="90">
        <f t="shared" si="1"/>
        <v>0.8860458982</v>
      </c>
      <c r="J651" s="81">
        <f t="shared" si="2"/>
        <v>0.5302097902</v>
      </c>
    </row>
    <row r="652">
      <c r="A652" s="88">
        <v>44685.0</v>
      </c>
      <c r="B652" s="89">
        <v>2383.0</v>
      </c>
      <c r="C652" s="89">
        <v>2.0</v>
      </c>
      <c r="D652" s="87" t="s">
        <v>204</v>
      </c>
      <c r="E652" s="89">
        <v>1.0</v>
      </c>
      <c r="F652" s="89">
        <v>0.1292</v>
      </c>
      <c r="G652" s="89">
        <v>0.0685</v>
      </c>
      <c r="H652" s="98"/>
      <c r="I652" s="90">
        <f t="shared" si="1"/>
        <v>0.8861313869</v>
      </c>
      <c r="J652" s="81">
        <f t="shared" si="2"/>
        <v>0.5301857585</v>
      </c>
    </row>
    <row r="653">
      <c r="A653" s="88">
        <v>44685.0</v>
      </c>
      <c r="B653" s="89">
        <v>2352.0</v>
      </c>
      <c r="C653" s="89">
        <v>2.0</v>
      </c>
      <c r="D653" s="87" t="s">
        <v>204</v>
      </c>
      <c r="E653" s="89">
        <v>1.0</v>
      </c>
      <c r="F653" s="89">
        <v>0.1565</v>
      </c>
      <c r="G653" s="89">
        <v>0.0828</v>
      </c>
      <c r="H653" s="98"/>
      <c r="I653" s="90">
        <f t="shared" si="1"/>
        <v>0.8900966184</v>
      </c>
      <c r="J653" s="81">
        <f t="shared" si="2"/>
        <v>0.5290734824</v>
      </c>
    </row>
    <row r="654">
      <c r="A654" s="88">
        <v>44685.0</v>
      </c>
      <c r="B654" s="89">
        <v>2010.0</v>
      </c>
      <c r="C654" s="89">
        <v>1.0</v>
      </c>
      <c r="D654" s="87" t="s">
        <v>204</v>
      </c>
      <c r="E654" s="89">
        <v>1.0</v>
      </c>
      <c r="F654" s="89">
        <v>0.2059</v>
      </c>
      <c r="G654" s="89">
        <v>0.1088</v>
      </c>
      <c r="H654" s="98"/>
      <c r="I654" s="90">
        <f t="shared" si="1"/>
        <v>0.8924632353</v>
      </c>
      <c r="J654" s="81">
        <f t="shared" si="2"/>
        <v>0.5284118504</v>
      </c>
    </row>
    <row r="655">
      <c r="A655" s="88">
        <v>44685.0</v>
      </c>
      <c r="B655" s="89">
        <v>2377.0</v>
      </c>
      <c r="C655" s="89">
        <v>2.0</v>
      </c>
      <c r="D655" s="87" t="s">
        <v>204</v>
      </c>
      <c r="E655" s="89">
        <v>1.0</v>
      </c>
      <c r="F655" s="89">
        <v>0.3423</v>
      </c>
      <c r="G655" s="89">
        <v>0.1805</v>
      </c>
      <c r="H655" s="98"/>
      <c r="I655" s="90">
        <f t="shared" si="1"/>
        <v>0.896398892</v>
      </c>
      <c r="J655" s="81">
        <f t="shared" si="2"/>
        <v>0.5273152206</v>
      </c>
    </row>
    <row r="656">
      <c r="A656" s="88">
        <v>44685.0</v>
      </c>
      <c r="B656" s="89">
        <v>2379.0</v>
      </c>
      <c r="C656" s="89">
        <v>1.0</v>
      </c>
      <c r="D656" s="87" t="s">
        <v>205</v>
      </c>
      <c r="E656" s="89">
        <v>0.0</v>
      </c>
      <c r="F656" s="89">
        <v>1.021</v>
      </c>
      <c r="G656" s="89">
        <v>0.5379</v>
      </c>
      <c r="H656" s="98"/>
      <c r="I656" s="90">
        <f t="shared" si="1"/>
        <v>0.8981223276</v>
      </c>
      <c r="J656" s="81">
        <f t="shared" si="2"/>
        <v>0.5268364349</v>
      </c>
    </row>
    <row r="657">
      <c r="A657" s="88">
        <v>44685.0</v>
      </c>
      <c r="B657" s="89">
        <v>2301.0</v>
      </c>
      <c r="C657" s="89">
        <v>1.0</v>
      </c>
      <c r="D657" s="87" t="s">
        <v>204</v>
      </c>
      <c r="E657" s="89">
        <v>1.0</v>
      </c>
      <c r="F657" s="89">
        <v>0.5862</v>
      </c>
      <c r="G657" s="89">
        <v>0.3087</v>
      </c>
      <c r="H657" s="98"/>
      <c r="I657" s="90">
        <f t="shared" si="1"/>
        <v>0.898931001</v>
      </c>
      <c r="J657" s="81">
        <f t="shared" si="2"/>
        <v>0.5266120778</v>
      </c>
    </row>
    <row r="658">
      <c r="A658" s="88">
        <v>44685.0</v>
      </c>
      <c r="B658" s="89">
        <v>2383.0</v>
      </c>
      <c r="C658" s="89">
        <v>3.0</v>
      </c>
      <c r="D658" s="87" t="s">
        <v>204</v>
      </c>
      <c r="E658" s="89">
        <v>1.0</v>
      </c>
      <c r="F658" s="89">
        <v>0.1926</v>
      </c>
      <c r="G658" s="89">
        <v>0.1014</v>
      </c>
      <c r="H658" s="98"/>
      <c r="I658" s="90">
        <f t="shared" si="1"/>
        <v>0.899408284</v>
      </c>
      <c r="J658" s="81">
        <f t="shared" si="2"/>
        <v>0.5264797508</v>
      </c>
    </row>
    <row r="659">
      <c r="A659" s="88">
        <v>44685.0</v>
      </c>
      <c r="B659" s="89">
        <v>2378.0</v>
      </c>
      <c r="C659" s="89">
        <v>2.0</v>
      </c>
      <c r="D659" s="87" t="s">
        <v>204</v>
      </c>
      <c r="E659" s="89">
        <v>1.0</v>
      </c>
      <c r="F659" s="89">
        <v>0.1461</v>
      </c>
      <c r="G659" s="89">
        <v>0.076</v>
      </c>
      <c r="H659" s="98"/>
      <c r="I659" s="90">
        <f t="shared" si="1"/>
        <v>0.9223684211</v>
      </c>
      <c r="J659" s="81">
        <f t="shared" si="2"/>
        <v>0.5201916496</v>
      </c>
    </row>
    <row r="660">
      <c r="A660" s="88">
        <v>44685.0</v>
      </c>
      <c r="B660" s="89">
        <v>2371.0</v>
      </c>
      <c r="C660" s="89">
        <v>3.0</v>
      </c>
      <c r="D660" s="87" t="s">
        <v>204</v>
      </c>
      <c r="E660" s="89">
        <v>1.0</v>
      </c>
      <c r="F660" s="89">
        <v>0.0698</v>
      </c>
      <c r="G660" s="89">
        <v>0.0363</v>
      </c>
      <c r="H660" s="98"/>
      <c r="I660" s="90">
        <f t="shared" si="1"/>
        <v>0.9228650138</v>
      </c>
      <c r="J660" s="81">
        <f t="shared" si="2"/>
        <v>0.5200573066</v>
      </c>
    </row>
    <row r="661">
      <c r="A661" s="88">
        <v>44685.0</v>
      </c>
      <c r="B661" s="89">
        <v>2011.0</v>
      </c>
      <c r="C661" s="89">
        <v>3.0</v>
      </c>
      <c r="D661" s="87" t="s">
        <v>205</v>
      </c>
      <c r="E661" s="89">
        <v>0.0</v>
      </c>
      <c r="F661" s="89">
        <v>0.6026</v>
      </c>
      <c r="G661" s="89">
        <v>0.3132</v>
      </c>
      <c r="H661" s="98"/>
      <c r="I661" s="90">
        <f t="shared" si="1"/>
        <v>0.9240102171</v>
      </c>
      <c r="J661" s="81">
        <f t="shared" si="2"/>
        <v>0.5197477597</v>
      </c>
    </row>
    <row r="662">
      <c r="A662" s="88">
        <v>44685.0</v>
      </c>
      <c r="B662" s="89">
        <v>2372.0</v>
      </c>
      <c r="C662" s="89">
        <v>3.0</v>
      </c>
      <c r="D662" s="87" t="s">
        <v>204</v>
      </c>
      <c r="E662" s="89">
        <v>1.0</v>
      </c>
      <c r="F662" s="89">
        <v>0.2715</v>
      </c>
      <c r="G662" s="89">
        <v>0.1411</v>
      </c>
      <c r="H662" s="98"/>
      <c r="I662" s="90">
        <f t="shared" si="1"/>
        <v>0.9241672573</v>
      </c>
      <c r="J662" s="81">
        <f t="shared" si="2"/>
        <v>0.5197053407</v>
      </c>
    </row>
    <row r="663">
      <c r="A663" s="88">
        <v>44685.0</v>
      </c>
      <c r="B663" s="89">
        <v>2360.0</v>
      </c>
      <c r="C663" s="89">
        <v>3.0</v>
      </c>
      <c r="D663" s="87" t="s">
        <v>205</v>
      </c>
      <c r="E663" s="89">
        <v>0.0</v>
      </c>
      <c r="F663" s="89">
        <v>1.8793</v>
      </c>
      <c r="G663" s="89">
        <v>0.9752</v>
      </c>
      <c r="H663" s="98"/>
      <c r="I663" s="90">
        <f t="shared" si="1"/>
        <v>0.9270918786</v>
      </c>
      <c r="J663" s="81">
        <f t="shared" si="2"/>
        <v>0.5189166179</v>
      </c>
    </row>
    <row r="664">
      <c r="A664" s="88">
        <v>44685.0</v>
      </c>
      <c r="B664" s="89">
        <v>2354.0</v>
      </c>
      <c r="C664" s="89">
        <v>3.0</v>
      </c>
      <c r="D664" s="87" t="s">
        <v>205</v>
      </c>
      <c r="E664" s="89">
        <v>0.0</v>
      </c>
      <c r="F664" s="89">
        <v>2.1312</v>
      </c>
      <c r="G664" s="89">
        <v>1.1045</v>
      </c>
      <c r="H664" s="98"/>
      <c r="I664" s="90">
        <f t="shared" si="1"/>
        <v>0.9295608873</v>
      </c>
      <c r="J664" s="81">
        <f t="shared" si="2"/>
        <v>0.5182526276</v>
      </c>
    </row>
    <row r="665">
      <c r="A665" s="88">
        <v>44685.0</v>
      </c>
      <c r="B665" s="89">
        <v>2372.0</v>
      </c>
      <c r="C665" s="89">
        <v>1.0</v>
      </c>
      <c r="D665" s="87" t="s">
        <v>205</v>
      </c>
      <c r="E665" s="89">
        <v>0.0</v>
      </c>
      <c r="F665" s="89">
        <v>0.9474</v>
      </c>
      <c r="G665" s="89">
        <v>0.4906</v>
      </c>
      <c r="H665" s="98"/>
      <c r="I665" s="90">
        <f t="shared" si="1"/>
        <v>0.9311047697</v>
      </c>
      <c r="J665" s="81">
        <f t="shared" si="2"/>
        <v>0.5178382943</v>
      </c>
    </row>
    <row r="666">
      <c r="A666" s="88">
        <v>44685.0</v>
      </c>
      <c r="B666" s="89">
        <v>2383.0</v>
      </c>
      <c r="C666" s="89">
        <v>3.0</v>
      </c>
      <c r="D666" s="87" t="s">
        <v>205</v>
      </c>
      <c r="E666" s="89">
        <v>0.0</v>
      </c>
      <c r="F666" s="89">
        <v>0.6387</v>
      </c>
      <c r="G666" s="89">
        <v>0.3306</v>
      </c>
      <c r="H666" s="98"/>
      <c r="I666" s="90">
        <f t="shared" si="1"/>
        <v>0.9319419238</v>
      </c>
      <c r="J666" s="81">
        <f t="shared" si="2"/>
        <v>0.5176139032</v>
      </c>
    </row>
    <row r="667">
      <c r="A667" s="88">
        <v>44685.0</v>
      </c>
      <c r="B667" s="89">
        <v>2377.0</v>
      </c>
      <c r="C667" s="89">
        <v>1.0</v>
      </c>
      <c r="D667" s="87" t="s">
        <v>204</v>
      </c>
      <c r="E667" s="89">
        <v>1.0</v>
      </c>
      <c r="F667" s="89">
        <v>0.4754</v>
      </c>
      <c r="G667" s="89">
        <v>0.2458</v>
      </c>
      <c r="H667" s="98"/>
      <c r="I667" s="90">
        <f t="shared" si="1"/>
        <v>0.9340927583</v>
      </c>
      <c r="J667" s="81">
        <f t="shared" si="2"/>
        <v>0.5170382836</v>
      </c>
    </row>
    <row r="668">
      <c r="A668" s="88">
        <v>44685.0</v>
      </c>
      <c r="B668" s="89">
        <v>2301.0</v>
      </c>
      <c r="C668" s="89">
        <v>2.0</v>
      </c>
      <c r="D668" s="87" t="s">
        <v>204</v>
      </c>
      <c r="E668" s="89">
        <v>1.0</v>
      </c>
      <c r="F668" s="89">
        <v>0.2107</v>
      </c>
      <c r="G668" s="89">
        <v>0.1085</v>
      </c>
      <c r="H668" s="98"/>
      <c r="I668" s="90">
        <f t="shared" si="1"/>
        <v>0.9419354839</v>
      </c>
      <c r="J668" s="81">
        <f t="shared" si="2"/>
        <v>0.5149501661</v>
      </c>
    </row>
    <row r="669">
      <c r="A669" s="88">
        <v>44685.0</v>
      </c>
      <c r="B669" s="89">
        <v>2379.0</v>
      </c>
      <c r="C669" s="89">
        <v>3.0</v>
      </c>
      <c r="D669" s="87" t="s">
        <v>205</v>
      </c>
      <c r="E669" s="89">
        <v>0.0</v>
      </c>
      <c r="F669" s="89">
        <v>0.7016</v>
      </c>
      <c r="G669" s="89">
        <v>0.3608</v>
      </c>
      <c r="H669" s="98"/>
      <c r="I669" s="90">
        <f t="shared" si="1"/>
        <v>0.9445676275</v>
      </c>
      <c r="J669" s="81">
        <f t="shared" si="2"/>
        <v>0.5142531357</v>
      </c>
    </row>
    <row r="670">
      <c r="A670" s="88">
        <v>44685.0</v>
      </c>
      <c r="B670" s="89">
        <v>2375.0</v>
      </c>
      <c r="C670" s="89">
        <v>3.0</v>
      </c>
      <c r="D670" s="87" t="s">
        <v>204</v>
      </c>
      <c r="E670" s="89">
        <v>1.0</v>
      </c>
      <c r="F670" s="89">
        <v>0.1578</v>
      </c>
      <c r="G670" s="89">
        <v>0.081</v>
      </c>
      <c r="H670" s="98"/>
      <c r="I670" s="90">
        <f t="shared" si="1"/>
        <v>0.9481481481</v>
      </c>
      <c r="J670" s="81">
        <f t="shared" si="2"/>
        <v>0.5133079848</v>
      </c>
    </row>
    <row r="671">
      <c r="A671" s="88">
        <v>44685.0</v>
      </c>
      <c r="B671" s="89">
        <v>2011.0</v>
      </c>
      <c r="C671" s="89">
        <v>2.0</v>
      </c>
      <c r="D671" s="87" t="s">
        <v>205</v>
      </c>
      <c r="E671" s="89">
        <v>0.0</v>
      </c>
      <c r="F671" s="89">
        <v>0.7998</v>
      </c>
      <c r="G671" s="89">
        <v>0.4103</v>
      </c>
      <c r="H671" s="98"/>
      <c r="I671" s="90">
        <f t="shared" si="1"/>
        <v>0.9493053863</v>
      </c>
      <c r="J671" s="81">
        <f t="shared" si="2"/>
        <v>0.5130032508</v>
      </c>
    </row>
    <row r="672">
      <c r="A672" s="88">
        <v>44685.0</v>
      </c>
      <c r="B672" s="89">
        <v>2375.0</v>
      </c>
      <c r="C672" s="89">
        <v>2.0</v>
      </c>
      <c r="D672" s="87" t="s">
        <v>205</v>
      </c>
      <c r="E672" s="89">
        <v>0.0</v>
      </c>
      <c r="F672" s="89">
        <v>0.7164</v>
      </c>
      <c r="G672" s="89">
        <v>0.367</v>
      </c>
      <c r="H672" s="98"/>
      <c r="I672" s="90">
        <f t="shared" si="1"/>
        <v>0.9520435967</v>
      </c>
      <c r="J672" s="81">
        <f t="shared" si="2"/>
        <v>0.5122836404</v>
      </c>
    </row>
    <row r="673">
      <c r="A673" s="88">
        <v>44685.0</v>
      </c>
      <c r="B673" s="89">
        <v>2379.0</v>
      </c>
      <c r="C673" s="89">
        <v>2.0</v>
      </c>
      <c r="D673" s="87" t="s">
        <v>205</v>
      </c>
      <c r="E673" s="89">
        <v>0.0</v>
      </c>
      <c r="F673" s="89">
        <v>1.4753</v>
      </c>
      <c r="G673" s="89">
        <v>0.7557</v>
      </c>
      <c r="H673" s="98"/>
      <c r="I673" s="90">
        <f t="shared" si="1"/>
        <v>0.9522297208</v>
      </c>
      <c r="J673" s="81">
        <f t="shared" si="2"/>
        <v>0.5122347997</v>
      </c>
    </row>
    <row r="674">
      <c r="A674" s="88">
        <v>44685.0</v>
      </c>
      <c r="B674" s="89">
        <v>2371.0</v>
      </c>
      <c r="C674" s="89">
        <v>2.0</v>
      </c>
      <c r="D674" s="87" t="s">
        <v>204</v>
      </c>
      <c r="E674" s="89">
        <v>1.0</v>
      </c>
      <c r="F674" s="89">
        <v>0.184</v>
      </c>
      <c r="G674" s="89">
        <v>0.0942</v>
      </c>
      <c r="H674" s="98"/>
      <c r="I674" s="90">
        <f t="shared" si="1"/>
        <v>0.9532908705</v>
      </c>
      <c r="J674" s="81">
        <f t="shared" si="2"/>
        <v>0.5119565217</v>
      </c>
    </row>
    <row r="675">
      <c r="A675" s="88">
        <v>44685.0</v>
      </c>
      <c r="B675" s="89">
        <v>2383.0</v>
      </c>
      <c r="C675" s="89">
        <v>3.0</v>
      </c>
      <c r="D675" s="87" t="s">
        <v>204</v>
      </c>
      <c r="E675" s="89">
        <v>0.0</v>
      </c>
      <c r="F675" s="89">
        <v>0.0508</v>
      </c>
      <c r="G675" s="89">
        <v>0.026</v>
      </c>
      <c r="H675" s="98"/>
      <c r="I675" s="90">
        <f t="shared" si="1"/>
        <v>0.9538461538</v>
      </c>
      <c r="J675" s="81">
        <f t="shared" si="2"/>
        <v>0.5118110236</v>
      </c>
    </row>
    <row r="676">
      <c r="A676" s="88">
        <v>44685.0</v>
      </c>
      <c r="B676" s="89">
        <v>2354.0</v>
      </c>
      <c r="C676" s="89">
        <v>1.0</v>
      </c>
      <c r="D676" s="87" t="s">
        <v>205</v>
      </c>
      <c r="E676" s="89">
        <v>0.0</v>
      </c>
      <c r="F676" s="89">
        <v>0.2839</v>
      </c>
      <c r="G676" s="89">
        <v>0.1451</v>
      </c>
      <c r="H676" s="98"/>
      <c r="I676" s="90">
        <f t="shared" si="1"/>
        <v>0.9565816678</v>
      </c>
      <c r="J676" s="81">
        <f t="shared" si="2"/>
        <v>0.5110954561</v>
      </c>
    </row>
    <row r="677">
      <c r="A677" s="88">
        <v>44685.0</v>
      </c>
      <c r="B677" s="89">
        <v>2343.0</v>
      </c>
      <c r="C677" s="89">
        <v>3.0</v>
      </c>
      <c r="D677" s="87" t="s">
        <v>205</v>
      </c>
      <c r="E677" s="89">
        <v>0.0</v>
      </c>
      <c r="F677" s="89">
        <v>1.3416</v>
      </c>
      <c r="G677" s="89">
        <v>0.6849</v>
      </c>
      <c r="H677" s="98"/>
      <c r="I677" s="90">
        <f t="shared" si="1"/>
        <v>0.958826106</v>
      </c>
      <c r="J677" s="81">
        <f t="shared" si="2"/>
        <v>0.510509839</v>
      </c>
    </row>
    <row r="678">
      <c r="A678" s="88">
        <v>44685.0</v>
      </c>
      <c r="B678" s="89">
        <v>2343.0</v>
      </c>
      <c r="C678" s="89">
        <v>3.0</v>
      </c>
      <c r="D678" s="87" t="s">
        <v>204</v>
      </c>
      <c r="E678" s="89">
        <v>1.0</v>
      </c>
      <c r="F678" s="89">
        <v>0.373</v>
      </c>
      <c r="G678" s="89">
        <v>0.1904</v>
      </c>
      <c r="H678" s="98"/>
      <c r="I678" s="90">
        <f t="shared" si="1"/>
        <v>0.9590336134</v>
      </c>
      <c r="J678" s="81">
        <f t="shared" si="2"/>
        <v>0.5104557641</v>
      </c>
    </row>
    <row r="679">
      <c r="A679" s="88">
        <v>44685.0</v>
      </c>
      <c r="B679" s="89">
        <v>2346.0</v>
      </c>
      <c r="C679" s="89">
        <v>3.0</v>
      </c>
      <c r="D679" s="87" t="s">
        <v>205</v>
      </c>
      <c r="E679" s="89">
        <v>0.0</v>
      </c>
      <c r="F679" s="89">
        <v>0.5437</v>
      </c>
      <c r="G679" s="89">
        <v>0.2774</v>
      </c>
      <c r="H679" s="98"/>
      <c r="I679" s="90">
        <f t="shared" si="1"/>
        <v>0.9599855804</v>
      </c>
      <c r="J679" s="81">
        <f t="shared" si="2"/>
        <v>0.5102078352</v>
      </c>
    </row>
    <row r="680">
      <c r="A680" s="88">
        <v>44685.0</v>
      </c>
      <c r="B680" s="89">
        <v>2370.0</v>
      </c>
      <c r="C680" s="89">
        <v>1.0</v>
      </c>
      <c r="D680" s="87" t="s">
        <v>204</v>
      </c>
      <c r="E680" s="89">
        <v>1.0</v>
      </c>
      <c r="F680" s="89">
        <v>0.3195</v>
      </c>
      <c r="G680" s="89">
        <v>0.1628</v>
      </c>
      <c r="H680" s="98"/>
      <c r="I680" s="90">
        <f t="shared" si="1"/>
        <v>0.9625307125</v>
      </c>
      <c r="J680" s="81">
        <f t="shared" si="2"/>
        <v>0.5095461659</v>
      </c>
    </row>
    <row r="681">
      <c r="A681" s="88">
        <v>44685.0</v>
      </c>
      <c r="B681" s="89">
        <v>2375.0</v>
      </c>
      <c r="C681" s="89">
        <v>2.0</v>
      </c>
      <c r="D681" s="87" t="s">
        <v>204</v>
      </c>
      <c r="E681" s="89">
        <v>1.0</v>
      </c>
      <c r="F681" s="89">
        <v>0.1485</v>
      </c>
      <c r="G681" s="89">
        <v>0.0756</v>
      </c>
      <c r="H681" s="98"/>
      <c r="I681" s="90">
        <f t="shared" si="1"/>
        <v>0.9642857143</v>
      </c>
      <c r="J681" s="81">
        <f t="shared" si="2"/>
        <v>0.5090909091</v>
      </c>
    </row>
    <row r="682">
      <c r="A682" s="88">
        <v>44685.0</v>
      </c>
      <c r="B682" s="89">
        <v>2360.0</v>
      </c>
      <c r="C682" s="89">
        <v>1.0</v>
      </c>
      <c r="D682" s="87" t="s">
        <v>205</v>
      </c>
      <c r="E682" s="89">
        <v>0.0</v>
      </c>
      <c r="F682" s="89">
        <v>0.7262</v>
      </c>
      <c r="G682" s="89">
        <v>0.3686</v>
      </c>
      <c r="H682" s="98"/>
      <c r="I682" s="90">
        <f t="shared" si="1"/>
        <v>0.9701573521</v>
      </c>
      <c r="J682" s="81">
        <f t="shared" si="2"/>
        <v>0.5075736712</v>
      </c>
    </row>
    <row r="683">
      <c r="A683" s="88">
        <v>44685.0</v>
      </c>
      <c r="B683" s="89">
        <v>2371.0</v>
      </c>
      <c r="C683" s="89">
        <v>2.0</v>
      </c>
      <c r="D683" s="87" t="s">
        <v>205</v>
      </c>
      <c r="E683" s="89">
        <v>0.0</v>
      </c>
      <c r="F683" s="89">
        <v>1.2416</v>
      </c>
      <c r="G683" s="89">
        <v>0.6298</v>
      </c>
      <c r="H683" s="98"/>
      <c r="I683" s="90">
        <f t="shared" si="1"/>
        <v>0.9714194983</v>
      </c>
      <c r="J683" s="81">
        <f t="shared" si="2"/>
        <v>0.5072487113</v>
      </c>
    </row>
    <row r="684">
      <c r="A684" s="88">
        <v>44685.0</v>
      </c>
      <c r="B684" s="89">
        <v>2371.0</v>
      </c>
      <c r="C684" s="89">
        <v>2.0</v>
      </c>
      <c r="D684" s="87" t="s">
        <v>204</v>
      </c>
      <c r="E684" s="89">
        <v>1.0</v>
      </c>
      <c r="F684" s="89">
        <v>0.2536</v>
      </c>
      <c r="G684" s="89">
        <v>0.1286</v>
      </c>
      <c r="H684" s="98"/>
      <c r="I684" s="90">
        <f t="shared" si="1"/>
        <v>0.9720062208</v>
      </c>
      <c r="J684" s="81">
        <f t="shared" si="2"/>
        <v>0.5070977918</v>
      </c>
    </row>
    <row r="685">
      <c r="A685" s="88">
        <v>44685.0</v>
      </c>
      <c r="B685" s="89">
        <v>2370.0</v>
      </c>
      <c r="C685" s="89">
        <v>2.0</v>
      </c>
      <c r="D685" s="87" t="s">
        <v>205</v>
      </c>
      <c r="E685" s="89">
        <v>0.0</v>
      </c>
      <c r="F685" s="89">
        <v>1.0301</v>
      </c>
      <c r="G685" s="89">
        <v>0.522</v>
      </c>
      <c r="H685" s="98"/>
      <c r="I685" s="90">
        <f t="shared" si="1"/>
        <v>0.9733716475</v>
      </c>
      <c r="J685" s="81">
        <f t="shared" si="2"/>
        <v>0.5067469178</v>
      </c>
    </row>
    <row r="686">
      <c r="A686" s="88">
        <v>44685.0</v>
      </c>
      <c r="B686" s="89">
        <v>2354.0</v>
      </c>
      <c r="C686" s="89">
        <v>1.0</v>
      </c>
      <c r="D686" s="87" t="s">
        <v>204</v>
      </c>
      <c r="E686" s="89">
        <v>1.0</v>
      </c>
      <c r="F686" s="89">
        <v>0.2101</v>
      </c>
      <c r="G686" s="89">
        <v>0.1064</v>
      </c>
      <c r="H686" s="98"/>
      <c r="I686" s="90">
        <f t="shared" si="1"/>
        <v>0.9746240602</v>
      </c>
      <c r="J686" s="81">
        <f t="shared" si="2"/>
        <v>0.5064255117</v>
      </c>
    </row>
    <row r="687">
      <c r="A687" s="88">
        <v>44685.0</v>
      </c>
      <c r="B687" s="89">
        <v>2011.0</v>
      </c>
      <c r="C687" s="89">
        <v>2.0</v>
      </c>
      <c r="D687" s="87" t="s">
        <v>204</v>
      </c>
      <c r="E687" s="89">
        <v>1.0</v>
      </c>
      <c r="F687" s="89">
        <v>0.1144</v>
      </c>
      <c r="G687" s="89">
        <v>0.0578</v>
      </c>
      <c r="H687" s="98"/>
      <c r="I687" s="90">
        <f t="shared" si="1"/>
        <v>0.9792387543</v>
      </c>
      <c r="J687" s="81">
        <f t="shared" si="2"/>
        <v>0.5052447552</v>
      </c>
    </row>
    <row r="688">
      <c r="A688" s="88">
        <v>44685.0</v>
      </c>
      <c r="B688" s="89">
        <v>2372.0</v>
      </c>
      <c r="C688" s="89">
        <v>3.0</v>
      </c>
      <c r="D688" s="87" t="s">
        <v>205</v>
      </c>
      <c r="E688" s="89">
        <v>0.0</v>
      </c>
      <c r="F688" s="89">
        <v>1.193</v>
      </c>
      <c r="G688" s="89">
        <v>0.6024</v>
      </c>
      <c r="H688" s="98"/>
      <c r="I688" s="90">
        <f t="shared" si="1"/>
        <v>0.9804116866</v>
      </c>
      <c r="J688" s="81">
        <f t="shared" si="2"/>
        <v>0.5049455155</v>
      </c>
    </row>
    <row r="689">
      <c r="A689" s="88">
        <v>44685.0</v>
      </c>
      <c r="B689" s="89">
        <v>2383.0</v>
      </c>
      <c r="C689" s="89">
        <v>3.0</v>
      </c>
      <c r="D689" s="87" t="s">
        <v>205</v>
      </c>
      <c r="E689" s="89">
        <v>0.0</v>
      </c>
      <c r="F689" s="89">
        <v>1.2105</v>
      </c>
      <c r="G689" s="89">
        <v>0.6109</v>
      </c>
      <c r="H689" s="98"/>
      <c r="I689" s="90">
        <f t="shared" si="1"/>
        <v>0.9815027009</v>
      </c>
      <c r="J689" s="81">
        <f t="shared" si="2"/>
        <v>0.5046674928</v>
      </c>
    </row>
    <row r="690">
      <c r="A690" s="88">
        <v>44685.0</v>
      </c>
      <c r="B690" s="89">
        <v>2354.0</v>
      </c>
      <c r="C690" s="89">
        <v>2.0</v>
      </c>
      <c r="D690" s="87" t="s">
        <v>204</v>
      </c>
      <c r="E690" s="89">
        <v>1.0</v>
      </c>
      <c r="F690" s="89">
        <v>0.1861</v>
      </c>
      <c r="G690" s="89">
        <v>0.0938</v>
      </c>
      <c r="H690" s="98"/>
      <c r="I690" s="90">
        <f t="shared" si="1"/>
        <v>0.9840085288</v>
      </c>
      <c r="J690" s="81">
        <f t="shared" si="2"/>
        <v>0.5040300913</v>
      </c>
    </row>
    <row r="691">
      <c r="A691" s="88">
        <v>44685.0</v>
      </c>
      <c r="B691" s="89">
        <v>2360.0</v>
      </c>
      <c r="C691" s="89">
        <v>2.0</v>
      </c>
      <c r="D691" s="87" t="s">
        <v>204</v>
      </c>
      <c r="E691" s="89">
        <v>0.0</v>
      </c>
      <c r="F691" s="89">
        <v>0.1189</v>
      </c>
      <c r="G691" s="89">
        <v>0.0599</v>
      </c>
      <c r="H691" s="98"/>
      <c r="I691" s="90">
        <f t="shared" si="1"/>
        <v>0.9849749583</v>
      </c>
      <c r="J691" s="81">
        <f t="shared" si="2"/>
        <v>0.503784693</v>
      </c>
    </row>
    <row r="692">
      <c r="A692" s="88">
        <v>44685.0</v>
      </c>
      <c r="B692" s="89">
        <v>2372.0</v>
      </c>
      <c r="C692" s="89">
        <v>2.0</v>
      </c>
      <c r="D692" s="87" t="s">
        <v>204</v>
      </c>
      <c r="E692" s="89">
        <v>1.0</v>
      </c>
      <c r="F692" s="89">
        <v>0.2255</v>
      </c>
      <c r="G692" s="89">
        <v>0.1136</v>
      </c>
      <c r="H692" s="98"/>
      <c r="I692" s="90">
        <f t="shared" si="1"/>
        <v>0.9850352113</v>
      </c>
      <c r="J692" s="81">
        <f t="shared" si="2"/>
        <v>0.5037694013</v>
      </c>
    </row>
    <row r="693">
      <c r="A693" s="88">
        <v>44685.0</v>
      </c>
      <c r="B693" s="89">
        <v>2370.0</v>
      </c>
      <c r="C693" s="89">
        <v>2.0</v>
      </c>
      <c r="D693" s="87" t="s">
        <v>204</v>
      </c>
      <c r="E693" s="89">
        <v>1.0</v>
      </c>
      <c r="F693" s="89">
        <v>0.2436</v>
      </c>
      <c r="G693" s="89">
        <v>0.1221</v>
      </c>
      <c r="H693" s="98"/>
      <c r="I693" s="90">
        <f t="shared" si="1"/>
        <v>0.9950859951</v>
      </c>
      <c r="J693" s="81">
        <f t="shared" si="2"/>
        <v>0.5012315271</v>
      </c>
    </row>
    <row r="694">
      <c r="A694" s="88">
        <v>44685.0</v>
      </c>
      <c r="B694" s="89">
        <v>2360.0</v>
      </c>
      <c r="C694" s="89">
        <v>2.0</v>
      </c>
      <c r="D694" s="87" t="s">
        <v>205</v>
      </c>
      <c r="E694" s="89">
        <v>0.0</v>
      </c>
      <c r="F694" s="89">
        <v>1.4021</v>
      </c>
      <c r="G694" s="89">
        <v>0.6997</v>
      </c>
      <c r="H694" s="98"/>
      <c r="I694" s="90">
        <f t="shared" si="1"/>
        <v>1.003858797</v>
      </c>
      <c r="J694" s="81">
        <f t="shared" si="2"/>
        <v>0.4990371585</v>
      </c>
    </row>
    <row r="695">
      <c r="A695" s="88">
        <v>44685.0</v>
      </c>
      <c r="B695" s="89">
        <v>2372.0</v>
      </c>
      <c r="C695" s="89">
        <v>1.0</v>
      </c>
      <c r="D695" s="87" t="s">
        <v>204</v>
      </c>
      <c r="E695" s="89">
        <v>1.0</v>
      </c>
      <c r="F695" s="89">
        <v>0.1239</v>
      </c>
      <c r="G695" s="89">
        <v>0.0618</v>
      </c>
      <c r="H695" s="98"/>
      <c r="I695" s="90">
        <f t="shared" si="1"/>
        <v>1.004854369</v>
      </c>
      <c r="J695" s="81">
        <f t="shared" si="2"/>
        <v>0.4987893462</v>
      </c>
    </row>
    <row r="696">
      <c r="A696" s="88">
        <v>44685.0</v>
      </c>
      <c r="B696" s="89">
        <v>2372.0</v>
      </c>
      <c r="C696" s="89">
        <v>2.0</v>
      </c>
      <c r="D696" s="87" t="s">
        <v>205</v>
      </c>
      <c r="E696" s="89">
        <v>0.0</v>
      </c>
      <c r="F696" s="89">
        <v>0.6479</v>
      </c>
      <c r="G696" s="89">
        <v>0.3228</v>
      </c>
      <c r="H696" s="98"/>
      <c r="I696" s="90">
        <f t="shared" si="1"/>
        <v>1.007125155</v>
      </c>
      <c r="J696" s="81">
        <f t="shared" si="2"/>
        <v>0.4982250347</v>
      </c>
    </row>
    <row r="697">
      <c r="A697" s="88">
        <v>44685.0</v>
      </c>
      <c r="B697" s="89">
        <v>2375.0</v>
      </c>
      <c r="C697" s="89">
        <v>2.0</v>
      </c>
      <c r="D697" s="87" t="s">
        <v>205</v>
      </c>
      <c r="E697" s="89">
        <v>0.0</v>
      </c>
      <c r="F697" s="89">
        <v>1.9475</v>
      </c>
      <c r="G697" s="89">
        <v>0.9681</v>
      </c>
      <c r="H697" s="98"/>
      <c r="I697" s="90">
        <f t="shared" si="1"/>
        <v>1.011672348</v>
      </c>
      <c r="J697" s="81">
        <f t="shared" si="2"/>
        <v>0.4970988447</v>
      </c>
    </row>
    <row r="698">
      <c r="A698" s="88">
        <v>44685.0</v>
      </c>
      <c r="B698" s="89">
        <v>2378.0</v>
      </c>
      <c r="C698" s="89">
        <v>3.0</v>
      </c>
      <c r="D698" s="87" t="s">
        <v>205</v>
      </c>
      <c r="E698" s="89">
        <v>1.0</v>
      </c>
      <c r="F698" s="89">
        <v>1.0829</v>
      </c>
      <c r="G698" s="89">
        <v>0.5371</v>
      </c>
      <c r="H698" s="98"/>
      <c r="I698" s="90">
        <f t="shared" si="1"/>
        <v>1.016198101</v>
      </c>
      <c r="J698" s="81">
        <f t="shared" si="2"/>
        <v>0.4959830086</v>
      </c>
    </row>
    <row r="699">
      <c r="A699" s="88">
        <v>44685.0</v>
      </c>
      <c r="B699" s="89">
        <v>2375.0</v>
      </c>
      <c r="C699" s="89">
        <v>3.0</v>
      </c>
      <c r="D699" s="87" t="s">
        <v>205</v>
      </c>
      <c r="E699" s="89">
        <v>0.0</v>
      </c>
      <c r="F699" s="89">
        <v>0.9762</v>
      </c>
      <c r="G699" s="89">
        <v>0.484</v>
      </c>
      <c r="H699" s="98"/>
      <c r="I699" s="90">
        <f t="shared" si="1"/>
        <v>1.016942149</v>
      </c>
      <c r="J699" s="81">
        <f t="shared" si="2"/>
        <v>0.495800041</v>
      </c>
    </row>
    <row r="700">
      <c r="A700" s="88">
        <v>44685.0</v>
      </c>
      <c r="B700" s="89">
        <v>2011.0</v>
      </c>
      <c r="C700" s="89">
        <v>1.0</v>
      </c>
      <c r="D700" s="87" t="s">
        <v>205</v>
      </c>
      <c r="E700" s="89">
        <v>0.0</v>
      </c>
      <c r="F700" s="89">
        <v>0.7551</v>
      </c>
      <c r="G700" s="89">
        <v>0.3743</v>
      </c>
      <c r="H700" s="98"/>
      <c r="I700" s="90">
        <f t="shared" si="1"/>
        <v>1.017365749</v>
      </c>
      <c r="J700" s="81">
        <f t="shared" si="2"/>
        <v>0.4956959343</v>
      </c>
    </row>
    <row r="701">
      <c r="A701" s="88">
        <v>44685.0</v>
      </c>
      <c r="B701" s="89">
        <v>2011.0</v>
      </c>
      <c r="C701" s="89">
        <v>3.0</v>
      </c>
      <c r="D701" s="87" t="s">
        <v>204</v>
      </c>
      <c r="E701" s="89">
        <v>1.0</v>
      </c>
      <c r="F701" s="89">
        <v>0.1331</v>
      </c>
      <c r="G701" s="89">
        <v>0.0659</v>
      </c>
      <c r="H701" s="98"/>
      <c r="I701" s="90">
        <f t="shared" si="1"/>
        <v>1.019726859</v>
      </c>
      <c r="J701" s="81">
        <f t="shared" si="2"/>
        <v>0.4951164538</v>
      </c>
    </row>
    <row r="702">
      <c r="A702" s="88">
        <v>44685.0</v>
      </c>
      <c r="B702" s="89">
        <v>2371.0</v>
      </c>
      <c r="C702" s="89">
        <v>1.0</v>
      </c>
      <c r="D702" s="87" t="s">
        <v>205</v>
      </c>
      <c r="E702" s="89">
        <v>0.0</v>
      </c>
      <c r="F702" s="89">
        <v>1.3212</v>
      </c>
      <c r="G702" s="89">
        <v>0.6541</v>
      </c>
      <c r="H702" s="98"/>
      <c r="I702" s="90">
        <f t="shared" si="1"/>
        <v>1.019874637</v>
      </c>
      <c r="J702" s="81">
        <f t="shared" si="2"/>
        <v>0.4950802301</v>
      </c>
    </row>
    <row r="703">
      <c r="A703" s="88">
        <v>44685.0</v>
      </c>
      <c r="B703" s="89">
        <v>2378.0</v>
      </c>
      <c r="C703" s="89">
        <v>3.0</v>
      </c>
      <c r="D703" s="87" t="s">
        <v>204</v>
      </c>
      <c r="E703" s="89">
        <v>1.0</v>
      </c>
      <c r="F703" s="89">
        <v>0.153</v>
      </c>
      <c r="G703" s="89">
        <v>0.0755</v>
      </c>
      <c r="H703" s="98"/>
      <c r="I703" s="90">
        <f t="shared" si="1"/>
        <v>1.026490066</v>
      </c>
      <c r="J703" s="81">
        <f t="shared" si="2"/>
        <v>0.4934640523</v>
      </c>
    </row>
    <row r="704">
      <c r="A704" s="88">
        <v>44685.0</v>
      </c>
      <c r="B704" s="89">
        <v>2370.0</v>
      </c>
      <c r="C704" s="89">
        <v>1.0</v>
      </c>
      <c r="D704" s="87" t="s">
        <v>205</v>
      </c>
      <c r="E704" s="89">
        <v>0.0</v>
      </c>
      <c r="F704" s="89">
        <v>0.7779</v>
      </c>
      <c r="G704" s="89">
        <v>0.3816</v>
      </c>
      <c r="H704" s="98"/>
      <c r="I704" s="90">
        <f t="shared" si="1"/>
        <v>1.038522013</v>
      </c>
      <c r="J704" s="81">
        <f t="shared" si="2"/>
        <v>0.4905514848</v>
      </c>
    </row>
    <row r="705">
      <c r="A705" s="88">
        <v>44685.0</v>
      </c>
      <c r="B705" s="89">
        <v>2360.0</v>
      </c>
      <c r="C705" s="89">
        <v>3.0</v>
      </c>
      <c r="D705" s="87" t="s">
        <v>204</v>
      </c>
      <c r="E705" s="89">
        <v>0.0</v>
      </c>
      <c r="F705" s="89">
        <v>0.2559</v>
      </c>
      <c r="G705" s="89">
        <v>0.1254</v>
      </c>
      <c r="H705" s="98"/>
      <c r="I705" s="90">
        <f t="shared" si="1"/>
        <v>1.040669856</v>
      </c>
      <c r="J705" s="81">
        <f t="shared" si="2"/>
        <v>0.49003517</v>
      </c>
    </row>
    <row r="706">
      <c r="A706" s="88">
        <v>44685.0</v>
      </c>
      <c r="B706" s="89">
        <v>2370.0</v>
      </c>
      <c r="C706" s="89">
        <v>3.0</v>
      </c>
      <c r="D706" s="87" t="s">
        <v>205</v>
      </c>
      <c r="E706" s="89">
        <v>0.0</v>
      </c>
      <c r="F706" s="89">
        <v>0.9763</v>
      </c>
      <c r="G706" s="89">
        <v>0.4776</v>
      </c>
      <c r="H706" s="98"/>
      <c r="I706" s="90">
        <f t="shared" si="1"/>
        <v>1.044179229</v>
      </c>
      <c r="J706" s="81">
        <f t="shared" si="2"/>
        <v>0.4891938953</v>
      </c>
    </row>
    <row r="707">
      <c r="A707" s="88">
        <v>44685.0</v>
      </c>
      <c r="B707" s="89">
        <v>2379.0</v>
      </c>
      <c r="C707" s="89">
        <v>1.0</v>
      </c>
      <c r="D707" s="87" t="s">
        <v>204</v>
      </c>
      <c r="E707" s="89">
        <v>0.0</v>
      </c>
      <c r="F707" s="89">
        <v>0.0891</v>
      </c>
      <c r="G707" s="89">
        <v>0.0435</v>
      </c>
      <c r="H707" s="98"/>
      <c r="I707" s="90">
        <f t="shared" si="1"/>
        <v>1.048275862</v>
      </c>
      <c r="J707" s="81">
        <f t="shared" si="2"/>
        <v>0.4882154882</v>
      </c>
    </row>
    <row r="708">
      <c r="A708" s="88">
        <v>44685.0</v>
      </c>
      <c r="B708" s="89">
        <v>2365.0</v>
      </c>
      <c r="C708" s="89">
        <v>1.0</v>
      </c>
      <c r="D708" s="87" t="s">
        <v>205</v>
      </c>
      <c r="E708" s="89">
        <v>0.0</v>
      </c>
      <c r="F708" s="89">
        <v>0.7713</v>
      </c>
      <c r="G708" s="89">
        <v>0.3762</v>
      </c>
      <c r="H708" s="98"/>
      <c r="I708" s="90">
        <f t="shared" si="1"/>
        <v>1.050239234</v>
      </c>
      <c r="J708" s="81">
        <f t="shared" si="2"/>
        <v>0.487747958</v>
      </c>
    </row>
    <row r="709">
      <c r="A709" s="88">
        <v>44685.0</v>
      </c>
      <c r="B709" s="89">
        <v>2354.0</v>
      </c>
      <c r="C709" s="89">
        <v>3.0</v>
      </c>
      <c r="D709" s="87" t="s">
        <v>204</v>
      </c>
      <c r="E709" s="89">
        <v>1.0</v>
      </c>
      <c r="F709" s="89">
        <v>0.1968</v>
      </c>
      <c r="G709" s="89">
        <v>0.0956</v>
      </c>
      <c r="H709" s="98"/>
      <c r="I709" s="90">
        <f t="shared" si="1"/>
        <v>1.058577406</v>
      </c>
      <c r="J709" s="81">
        <f t="shared" si="2"/>
        <v>0.4857723577</v>
      </c>
    </row>
    <row r="710">
      <c r="A710" s="88">
        <v>44685.0</v>
      </c>
      <c r="B710" s="89">
        <v>2383.0</v>
      </c>
      <c r="C710" s="89">
        <v>2.0</v>
      </c>
      <c r="D710" s="87" t="s">
        <v>204</v>
      </c>
      <c r="E710" s="89">
        <v>0.0</v>
      </c>
      <c r="F710" s="89">
        <v>0.1063</v>
      </c>
      <c r="G710" s="89">
        <v>0.0515</v>
      </c>
      <c r="H710" s="98"/>
      <c r="I710" s="90">
        <f t="shared" si="1"/>
        <v>1.06407767</v>
      </c>
      <c r="J710" s="81">
        <f t="shared" si="2"/>
        <v>0.4844778928</v>
      </c>
    </row>
    <row r="711">
      <c r="A711" s="88">
        <v>44685.0</v>
      </c>
      <c r="B711" s="89">
        <v>2345.0</v>
      </c>
      <c r="C711" s="89">
        <v>3.0</v>
      </c>
      <c r="D711" s="87" t="s">
        <v>205</v>
      </c>
      <c r="E711" s="89">
        <v>1.0</v>
      </c>
      <c r="F711" s="89">
        <v>0.9794</v>
      </c>
      <c r="G711" s="89">
        <v>0.4723</v>
      </c>
      <c r="H711" s="98"/>
      <c r="I711" s="90">
        <f t="shared" si="1"/>
        <v>1.073681982</v>
      </c>
      <c r="J711" s="81">
        <f t="shared" si="2"/>
        <v>0.4822340208</v>
      </c>
    </row>
    <row r="712">
      <c r="A712" s="88">
        <v>44685.0</v>
      </c>
      <c r="B712" s="89">
        <v>2370.0</v>
      </c>
      <c r="C712" s="89">
        <v>3.0</v>
      </c>
      <c r="D712" s="87" t="s">
        <v>204</v>
      </c>
      <c r="E712" s="89">
        <v>1.0</v>
      </c>
      <c r="F712" s="89">
        <v>0.2396</v>
      </c>
      <c r="G712" s="89">
        <v>0.1153</v>
      </c>
      <c r="H712" s="98"/>
      <c r="I712" s="90">
        <f t="shared" si="1"/>
        <v>1.078057242</v>
      </c>
      <c r="J712" s="81">
        <f t="shared" si="2"/>
        <v>0.4812186978</v>
      </c>
    </row>
    <row r="713">
      <c r="A713" s="88">
        <v>44685.0</v>
      </c>
      <c r="B713" s="89">
        <v>2011.0</v>
      </c>
      <c r="C713" s="89">
        <v>1.0</v>
      </c>
      <c r="D713" s="87" t="s">
        <v>204</v>
      </c>
      <c r="E713" s="89">
        <v>1.0</v>
      </c>
      <c r="F713" s="89">
        <v>0.1023</v>
      </c>
      <c r="G713" s="89">
        <v>0.0491</v>
      </c>
      <c r="H713" s="98"/>
      <c r="I713" s="90">
        <f t="shared" si="1"/>
        <v>1.083503055</v>
      </c>
      <c r="J713" s="81">
        <f t="shared" si="2"/>
        <v>0.4799608993</v>
      </c>
    </row>
    <row r="714">
      <c r="A714" s="88">
        <v>44685.0</v>
      </c>
      <c r="B714" s="89">
        <v>2375.0</v>
      </c>
      <c r="C714" s="89">
        <v>2.0</v>
      </c>
      <c r="D714" s="87" t="s">
        <v>204</v>
      </c>
      <c r="E714" s="89">
        <v>0.0</v>
      </c>
      <c r="F714" s="89">
        <v>0.0891</v>
      </c>
      <c r="G714" s="89">
        <v>0.0427</v>
      </c>
      <c r="H714" s="98"/>
      <c r="I714" s="90">
        <f t="shared" si="1"/>
        <v>1.086651054</v>
      </c>
      <c r="J714" s="81">
        <f t="shared" si="2"/>
        <v>0.4792368126</v>
      </c>
    </row>
    <row r="715">
      <c r="A715" s="88">
        <v>44685.0</v>
      </c>
      <c r="B715" s="89">
        <v>2378.0</v>
      </c>
      <c r="C715" s="89">
        <v>1.0</v>
      </c>
      <c r="D715" s="87" t="s">
        <v>204</v>
      </c>
      <c r="E715" s="89">
        <v>1.0</v>
      </c>
      <c r="F715" s="89">
        <v>0.2579</v>
      </c>
      <c r="G715" s="89">
        <v>0.1223</v>
      </c>
      <c r="H715" s="98"/>
      <c r="I715" s="90">
        <f t="shared" si="1"/>
        <v>1.108748978</v>
      </c>
      <c r="J715" s="81">
        <f t="shared" si="2"/>
        <v>0.4742148119</v>
      </c>
    </row>
    <row r="716">
      <c r="A716" s="88">
        <v>44685.0</v>
      </c>
      <c r="B716" s="89">
        <v>2371.0</v>
      </c>
      <c r="C716" s="89">
        <v>2.0</v>
      </c>
      <c r="D716" s="87" t="s">
        <v>204</v>
      </c>
      <c r="E716" s="89">
        <v>0.0</v>
      </c>
      <c r="F716" s="89">
        <v>0.1464</v>
      </c>
      <c r="G716" s="89">
        <v>0.0694</v>
      </c>
      <c r="H716" s="98"/>
      <c r="I716" s="90">
        <f t="shared" si="1"/>
        <v>1.109510086</v>
      </c>
      <c r="J716" s="81">
        <f t="shared" si="2"/>
        <v>0.4740437158</v>
      </c>
    </row>
    <row r="717">
      <c r="A717" s="88">
        <v>44685.0</v>
      </c>
      <c r="B717" s="89">
        <v>2375.0</v>
      </c>
      <c r="C717" s="89">
        <v>1.0</v>
      </c>
      <c r="D717" s="87" t="s">
        <v>205</v>
      </c>
      <c r="E717" s="89">
        <v>0.0</v>
      </c>
      <c r="F717" s="89">
        <v>0.7958</v>
      </c>
      <c r="G717" s="89">
        <v>0.3769</v>
      </c>
      <c r="H717" s="98"/>
      <c r="I717" s="90">
        <f t="shared" si="1"/>
        <v>1.111435394</v>
      </c>
      <c r="J717" s="81">
        <f t="shared" si="2"/>
        <v>0.4736114602</v>
      </c>
    </row>
    <row r="718">
      <c r="A718" s="88">
        <v>44685.0</v>
      </c>
      <c r="B718" s="89">
        <v>2378.0</v>
      </c>
      <c r="C718" s="89">
        <v>3.0</v>
      </c>
      <c r="D718" s="87" t="s">
        <v>204</v>
      </c>
      <c r="E718" s="89">
        <v>0.0</v>
      </c>
      <c r="F718" s="89">
        <v>0.2381</v>
      </c>
      <c r="G718" s="89">
        <v>0.111</v>
      </c>
      <c r="H718" s="98"/>
      <c r="I718" s="90">
        <f t="shared" si="1"/>
        <v>1.145045045</v>
      </c>
      <c r="J718" s="81">
        <f t="shared" si="2"/>
        <v>0.4661906762</v>
      </c>
    </row>
    <row r="719">
      <c r="A719" s="88">
        <v>44685.0</v>
      </c>
      <c r="B719" s="89">
        <v>2379.0</v>
      </c>
      <c r="C719" s="89">
        <v>2.0</v>
      </c>
      <c r="D719" s="87" t="s">
        <v>204</v>
      </c>
      <c r="E719" s="89">
        <v>0.0</v>
      </c>
      <c r="F719" s="89">
        <v>0.1908</v>
      </c>
      <c r="G719" s="89">
        <v>0.0889</v>
      </c>
      <c r="H719" s="98"/>
      <c r="I719" s="90">
        <f t="shared" si="1"/>
        <v>1.146231721</v>
      </c>
      <c r="J719" s="81">
        <f t="shared" si="2"/>
        <v>0.465932914</v>
      </c>
    </row>
    <row r="720">
      <c r="A720" s="88">
        <v>44685.0</v>
      </c>
      <c r="B720" s="89">
        <v>2343.0</v>
      </c>
      <c r="C720" s="89">
        <v>3.0</v>
      </c>
      <c r="D720" s="87" t="s">
        <v>204</v>
      </c>
      <c r="E720" s="89">
        <v>0.0</v>
      </c>
      <c r="F720" s="89">
        <v>0.0773</v>
      </c>
      <c r="G720" s="89">
        <v>0.0359</v>
      </c>
      <c r="H720" s="98"/>
      <c r="I720" s="90">
        <f t="shared" si="1"/>
        <v>1.153203343</v>
      </c>
      <c r="J720" s="81">
        <f t="shared" si="2"/>
        <v>0.4644243208</v>
      </c>
    </row>
    <row r="721">
      <c r="A721" s="88">
        <v>44685.0</v>
      </c>
      <c r="B721" s="89">
        <v>2379.0</v>
      </c>
      <c r="C721" s="89">
        <v>3.0</v>
      </c>
      <c r="D721" s="87" t="s">
        <v>204</v>
      </c>
      <c r="E721" s="89">
        <v>0.0</v>
      </c>
      <c r="F721" s="89">
        <v>0.0481</v>
      </c>
      <c r="G721" s="89">
        <v>0.0222</v>
      </c>
      <c r="H721" s="98"/>
      <c r="I721" s="90">
        <f t="shared" si="1"/>
        <v>1.166666667</v>
      </c>
      <c r="J721" s="81">
        <f t="shared" si="2"/>
        <v>0.4615384615</v>
      </c>
    </row>
    <row r="722">
      <c r="A722" s="88">
        <v>44685.0</v>
      </c>
      <c r="B722" s="89">
        <v>2011.0</v>
      </c>
      <c r="C722" s="89">
        <v>2.0</v>
      </c>
      <c r="D722" s="87" t="s">
        <v>204</v>
      </c>
      <c r="E722" s="89">
        <v>0.0</v>
      </c>
      <c r="F722" s="89">
        <v>0.1137</v>
      </c>
      <c r="G722" s="89">
        <v>0.0524</v>
      </c>
      <c r="H722" s="98"/>
      <c r="I722" s="90">
        <f t="shared" si="1"/>
        <v>1.169847328</v>
      </c>
      <c r="J722" s="81">
        <f t="shared" si="2"/>
        <v>0.4608619173</v>
      </c>
    </row>
    <row r="723">
      <c r="A723" s="88">
        <v>44685.0</v>
      </c>
      <c r="B723" s="89">
        <v>2372.0</v>
      </c>
      <c r="C723" s="89">
        <v>1.0</v>
      </c>
      <c r="D723" s="87" t="s">
        <v>204</v>
      </c>
      <c r="E723" s="89">
        <v>0.0</v>
      </c>
      <c r="F723" s="89">
        <v>0.1705</v>
      </c>
      <c r="G723" s="89">
        <v>0.0785</v>
      </c>
      <c r="H723" s="98"/>
      <c r="I723" s="90">
        <f t="shared" si="1"/>
        <v>1.171974522</v>
      </c>
      <c r="J723" s="81">
        <f t="shared" si="2"/>
        <v>0.4604105572</v>
      </c>
    </row>
    <row r="724">
      <c r="A724" s="88">
        <v>44685.0</v>
      </c>
      <c r="B724" s="89">
        <v>2370.0</v>
      </c>
      <c r="C724" s="89">
        <v>2.0</v>
      </c>
      <c r="D724" s="87" t="s">
        <v>204</v>
      </c>
      <c r="E724" s="89">
        <v>0.0</v>
      </c>
      <c r="F724" s="89">
        <v>0.0693</v>
      </c>
      <c r="G724" s="89">
        <v>0.0319</v>
      </c>
      <c r="H724" s="98"/>
      <c r="I724" s="90">
        <f t="shared" si="1"/>
        <v>1.172413793</v>
      </c>
      <c r="J724" s="81">
        <f t="shared" si="2"/>
        <v>0.4603174603</v>
      </c>
    </row>
    <row r="725">
      <c r="A725" s="88">
        <v>44685.0</v>
      </c>
      <c r="B725" s="89">
        <v>2354.0</v>
      </c>
      <c r="C725" s="89">
        <v>2.0</v>
      </c>
      <c r="D725" s="87" t="s">
        <v>204</v>
      </c>
      <c r="E725" s="89">
        <v>0.0</v>
      </c>
      <c r="F725" s="89">
        <v>0.0781</v>
      </c>
      <c r="G725" s="89">
        <v>0.0354</v>
      </c>
      <c r="H725" s="98"/>
      <c r="I725" s="90">
        <f t="shared" si="1"/>
        <v>1.206214689</v>
      </c>
      <c r="J725" s="81">
        <f t="shared" si="2"/>
        <v>0.4532650448</v>
      </c>
    </row>
    <row r="726">
      <c r="A726" s="88">
        <v>44685.0</v>
      </c>
      <c r="B726" s="89">
        <v>2371.0</v>
      </c>
      <c r="C726" s="89">
        <v>3.0</v>
      </c>
      <c r="D726" s="87" t="s">
        <v>204</v>
      </c>
      <c r="E726" s="89">
        <v>0.0</v>
      </c>
      <c r="F726" s="89">
        <v>0.0938</v>
      </c>
      <c r="G726" s="89">
        <v>0.0424</v>
      </c>
      <c r="H726" s="98"/>
      <c r="I726" s="90">
        <f t="shared" si="1"/>
        <v>1.212264151</v>
      </c>
      <c r="J726" s="81">
        <f t="shared" si="2"/>
        <v>0.4520255864</v>
      </c>
    </row>
    <row r="727">
      <c r="A727" s="88">
        <v>44685.0</v>
      </c>
      <c r="B727" s="89">
        <v>2371.0</v>
      </c>
      <c r="C727" s="89">
        <v>1.0</v>
      </c>
      <c r="D727" s="87" t="s">
        <v>204</v>
      </c>
      <c r="E727" s="89">
        <v>0.0</v>
      </c>
      <c r="F727" s="89">
        <v>0.2115</v>
      </c>
      <c r="G727" s="89">
        <v>0.0945</v>
      </c>
      <c r="H727" s="98"/>
      <c r="I727" s="90">
        <f t="shared" si="1"/>
        <v>1.238095238</v>
      </c>
      <c r="J727" s="81">
        <f t="shared" si="2"/>
        <v>0.4468085106</v>
      </c>
    </row>
    <row r="728">
      <c r="A728" s="88">
        <v>44685.0</v>
      </c>
      <c r="B728" s="89">
        <v>2370.0</v>
      </c>
      <c r="C728" s="89">
        <v>1.0</v>
      </c>
      <c r="D728" s="87" t="s">
        <v>204</v>
      </c>
      <c r="E728" s="89">
        <v>0.0</v>
      </c>
      <c r="F728" s="89">
        <v>0.0428</v>
      </c>
      <c r="G728" s="89">
        <v>0.0191</v>
      </c>
      <c r="H728" s="98"/>
      <c r="I728" s="90">
        <f t="shared" si="1"/>
        <v>1.240837696</v>
      </c>
      <c r="J728" s="81">
        <f t="shared" si="2"/>
        <v>0.4462616822</v>
      </c>
    </row>
    <row r="729">
      <c r="A729" s="88">
        <v>44685.0</v>
      </c>
      <c r="B729" s="89">
        <v>2383.0</v>
      </c>
      <c r="C729" s="89">
        <v>3.0</v>
      </c>
      <c r="D729" s="87" t="s">
        <v>204</v>
      </c>
      <c r="E729" s="89">
        <v>0.0</v>
      </c>
      <c r="F729" s="89">
        <v>0.0471</v>
      </c>
      <c r="G729" s="89">
        <v>0.0209</v>
      </c>
      <c r="H729" s="98"/>
      <c r="I729" s="90">
        <f t="shared" si="1"/>
        <v>1.253588517</v>
      </c>
      <c r="J729" s="81">
        <f t="shared" si="2"/>
        <v>0.4437367304</v>
      </c>
    </row>
    <row r="730">
      <c r="A730" s="88">
        <v>44685.0</v>
      </c>
      <c r="B730" s="89">
        <v>2011.0</v>
      </c>
      <c r="C730" s="89">
        <v>3.0</v>
      </c>
      <c r="D730" s="87" t="s">
        <v>204</v>
      </c>
      <c r="E730" s="89">
        <v>0.0</v>
      </c>
      <c r="F730" s="89">
        <v>0.0824</v>
      </c>
      <c r="G730" s="89">
        <v>0.0364</v>
      </c>
      <c r="H730" s="98"/>
      <c r="I730" s="90">
        <f t="shared" si="1"/>
        <v>1.263736264</v>
      </c>
      <c r="J730" s="81">
        <f t="shared" si="2"/>
        <v>0.4417475728</v>
      </c>
    </row>
    <row r="731">
      <c r="A731" s="88">
        <v>44685.0</v>
      </c>
      <c r="B731" s="89">
        <v>2378.0</v>
      </c>
      <c r="C731" s="89">
        <v>1.0</v>
      </c>
      <c r="D731" s="87" t="s">
        <v>204</v>
      </c>
      <c r="E731" s="89">
        <v>0.0</v>
      </c>
      <c r="F731" s="89">
        <v>0.0722</v>
      </c>
      <c r="G731" s="89">
        <v>0.0318</v>
      </c>
      <c r="H731" s="98"/>
      <c r="I731" s="90">
        <f t="shared" si="1"/>
        <v>1.270440252</v>
      </c>
      <c r="J731" s="81">
        <f t="shared" si="2"/>
        <v>0.4404432133</v>
      </c>
    </row>
    <row r="732">
      <c r="A732" s="88">
        <v>44685.0</v>
      </c>
      <c r="B732" s="89">
        <v>2375.0</v>
      </c>
      <c r="C732" s="89">
        <v>3.0</v>
      </c>
      <c r="D732" s="87" t="s">
        <v>204</v>
      </c>
      <c r="E732" s="89">
        <v>0.0</v>
      </c>
      <c r="F732" s="89">
        <v>0.1904</v>
      </c>
      <c r="G732" s="89">
        <v>0.0831</v>
      </c>
      <c r="H732" s="98"/>
      <c r="I732" s="90">
        <f t="shared" si="1"/>
        <v>1.291215403</v>
      </c>
      <c r="J732" s="81">
        <f t="shared" si="2"/>
        <v>0.4364495798</v>
      </c>
    </row>
    <row r="733">
      <c r="A733" s="88">
        <v>44685.0</v>
      </c>
      <c r="B733" s="89">
        <v>2372.0</v>
      </c>
      <c r="C733" s="89">
        <v>3.0</v>
      </c>
      <c r="D733" s="87" t="s">
        <v>204</v>
      </c>
      <c r="E733" s="89">
        <v>0.0</v>
      </c>
      <c r="F733" s="89">
        <v>0.1427</v>
      </c>
      <c r="G733" s="89">
        <v>0.0622</v>
      </c>
      <c r="H733" s="98"/>
      <c r="I733" s="90">
        <f t="shared" si="1"/>
        <v>1.294212219</v>
      </c>
      <c r="J733" s="81">
        <f t="shared" si="2"/>
        <v>0.4358794674</v>
      </c>
    </row>
    <row r="734">
      <c r="A734" s="88">
        <v>44685.0</v>
      </c>
      <c r="B734" s="89">
        <v>2354.0</v>
      </c>
      <c r="C734" s="89">
        <v>1.0</v>
      </c>
      <c r="D734" s="87" t="s">
        <v>204</v>
      </c>
      <c r="E734" s="89">
        <v>0.0</v>
      </c>
      <c r="F734" s="89">
        <v>0.0246</v>
      </c>
      <c r="G734" s="89">
        <v>0.0107</v>
      </c>
      <c r="H734" s="98"/>
      <c r="I734" s="90">
        <f t="shared" si="1"/>
        <v>1.299065421</v>
      </c>
      <c r="J734" s="81">
        <f t="shared" si="2"/>
        <v>0.4349593496</v>
      </c>
    </row>
    <row r="735">
      <c r="A735" s="88">
        <v>44685.0</v>
      </c>
      <c r="B735" s="89">
        <v>2354.0</v>
      </c>
      <c r="C735" s="89">
        <v>3.0</v>
      </c>
      <c r="D735" s="87" t="s">
        <v>204</v>
      </c>
      <c r="E735" s="89">
        <v>0.0</v>
      </c>
      <c r="F735" s="89">
        <v>0.2149</v>
      </c>
      <c r="G735" s="89">
        <v>0.0928</v>
      </c>
      <c r="H735" s="98"/>
      <c r="I735" s="90">
        <f t="shared" si="1"/>
        <v>1.315732759</v>
      </c>
      <c r="J735" s="81">
        <f t="shared" si="2"/>
        <v>0.4318287576</v>
      </c>
    </row>
    <row r="736">
      <c r="A736" s="88">
        <v>44685.0</v>
      </c>
      <c r="B736" s="89">
        <v>2372.0</v>
      </c>
      <c r="C736" s="89">
        <v>2.0</v>
      </c>
      <c r="D736" s="87" t="s">
        <v>204</v>
      </c>
      <c r="E736" s="89">
        <v>0.0</v>
      </c>
      <c r="F736" s="89">
        <v>0.0891</v>
      </c>
      <c r="G736" s="89">
        <v>0.038</v>
      </c>
      <c r="H736" s="98"/>
      <c r="I736" s="90">
        <f t="shared" si="1"/>
        <v>1.344736842</v>
      </c>
      <c r="J736" s="81">
        <f t="shared" si="2"/>
        <v>0.4264870932</v>
      </c>
    </row>
    <row r="737">
      <c r="A737" s="88">
        <v>44685.0</v>
      </c>
      <c r="B737" s="89">
        <v>2011.0</v>
      </c>
      <c r="C737" s="89">
        <v>1.0</v>
      </c>
      <c r="D737" s="87" t="s">
        <v>204</v>
      </c>
      <c r="E737" s="89">
        <v>0.0</v>
      </c>
      <c r="F737" s="89">
        <v>0.0936</v>
      </c>
      <c r="G737" s="89">
        <v>0.0399</v>
      </c>
      <c r="H737" s="98"/>
      <c r="I737" s="90">
        <f t="shared" si="1"/>
        <v>1.345864662</v>
      </c>
      <c r="J737" s="81">
        <f t="shared" si="2"/>
        <v>0.4262820513</v>
      </c>
    </row>
    <row r="738">
      <c r="A738" s="88">
        <v>44685.0</v>
      </c>
      <c r="B738" s="89">
        <v>2375.0</v>
      </c>
      <c r="C738" s="89">
        <v>3.0</v>
      </c>
      <c r="D738" s="87" t="s">
        <v>204</v>
      </c>
      <c r="E738" s="89">
        <v>0.0</v>
      </c>
      <c r="F738" s="89">
        <v>0.1834</v>
      </c>
      <c r="G738" s="89">
        <v>0.078</v>
      </c>
      <c r="H738" s="98"/>
      <c r="I738" s="90">
        <f t="shared" si="1"/>
        <v>1.351282051</v>
      </c>
      <c r="J738" s="81">
        <f t="shared" si="2"/>
        <v>0.4252998909</v>
      </c>
    </row>
    <row r="739">
      <c r="A739" s="88">
        <v>44685.0</v>
      </c>
      <c r="B739" s="89">
        <v>2370.0</v>
      </c>
      <c r="C739" s="89">
        <v>3.0</v>
      </c>
      <c r="D739" s="87" t="s">
        <v>204</v>
      </c>
      <c r="E739" s="89">
        <v>0.0</v>
      </c>
      <c r="F739" s="89">
        <v>0.131</v>
      </c>
      <c r="G739" s="89">
        <v>0.0553</v>
      </c>
      <c r="H739" s="98"/>
      <c r="I739" s="90">
        <f t="shared" si="1"/>
        <v>1.368896926</v>
      </c>
      <c r="J739" s="81">
        <f t="shared" si="2"/>
        <v>0.4221374046</v>
      </c>
    </row>
    <row r="740">
      <c r="A740" s="88">
        <v>44685.0</v>
      </c>
      <c r="B740" s="89">
        <v>2331.0</v>
      </c>
      <c r="C740" s="89">
        <v>2.0</v>
      </c>
      <c r="D740" s="87" t="s">
        <v>204</v>
      </c>
      <c r="E740" s="89">
        <v>0.0</v>
      </c>
      <c r="F740" s="89">
        <v>0.0499</v>
      </c>
      <c r="G740" s="89">
        <v>0.0202</v>
      </c>
      <c r="H740" s="98"/>
      <c r="I740" s="90">
        <f t="shared" si="1"/>
        <v>1.47029703</v>
      </c>
      <c r="J740" s="81">
        <f t="shared" si="2"/>
        <v>0.4048096192</v>
      </c>
    </row>
    <row r="741">
      <c r="A741" s="88">
        <v>44685.0</v>
      </c>
      <c r="B741" s="89">
        <v>2378.0</v>
      </c>
      <c r="C741" s="89">
        <v>2.0</v>
      </c>
      <c r="D741" s="87" t="s">
        <v>204</v>
      </c>
      <c r="E741" s="89">
        <v>0.0</v>
      </c>
      <c r="F741" s="89">
        <v>0.3409</v>
      </c>
      <c r="G741" s="89">
        <v>0.0777</v>
      </c>
      <c r="H741" s="98"/>
      <c r="I741" s="90">
        <f t="shared" si="1"/>
        <v>3.387387387</v>
      </c>
      <c r="J741" s="81">
        <f t="shared" si="2"/>
        <v>0.227926078</v>
      </c>
      <c r="K741" s="66">
        <v>1.0</v>
      </c>
    </row>
    <row r="742">
      <c r="A742" s="88">
        <v>44690.0</v>
      </c>
      <c r="B742" s="89">
        <v>2031.0</v>
      </c>
      <c r="C742" s="89">
        <v>3.0</v>
      </c>
      <c r="D742" s="87" t="s">
        <v>204</v>
      </c>
      <c r="E742" s="89">
        <v>1.0</v>
      </c>
      <c r="F742" s="89">
        <v>0.1087</v>
      </c>
      <c r="G742" s="89">
        <v>0.1468</v>
      </c>
      <c r="H742" s="98"/>
      <c r="I742" s="90">
        <f t="shared" si="1"/>
        <v>-0.2595367847</v>
      </c>
      <c r="J742" s="81">
        <f t="shared" si="2"/>
        <v>1.35050598</v>
      </c>
    </row>
    <row r="743">
      <c r="A743" s="88">
        <v>44690.0</v>
      </c>
      <c r="B743" s="89">
        <v>2030.0</v>
      </c>
      <c r="C743" s="89">
        <v>2.0</v>
      </c>
      <c r="D743" s="87" t="s">
        <v>205</v>
      </c>
      <c r="E743" s="89">
        <v>1.0</v>
      </c>
      <c r="F743" s="89">
        <v>0.265</v>
      </c>
      <c r="G743" s="89">
        <v>0.3535</v>
      </c>
      <c r="H743" s="98"/>
      <c r="I743" s="90">
        <f t="shared" si="1"/>
        <v>-0.2503536068</v>
      </c>
      <c r="J743" s="81">
        <f t="shared" si="2"/>
        <v>1.333962264</v>
      </c>
    </row>
    <row r="744">
      <c r="A744" s="88">
        <v>44690.0</v>
      </c>
      <c r="B744" s="89">
        <v>2005.0</v>
      </c>
      <c r="C744" s="89">
        <v>1.0</v>
      </c>
      <c r="D744" s="87" t="s">
        <v>204</v>
      </c>
      <c r="E744" s="89">
        <v>0.0</v>
      </c>
      <c r="F744" s="89">
        <v>0.1683</v>
      </c>
      <c r="G744" s="89">
        <v>0.218</v>
      </c>
      <c r="H744" s="98"/>
      <c r="I744" s="90">
        <f t="shared" si="1"/>
        <v>-0.2279816514</v>
      </c>
      <c r="J744" s="81">
        <f t="shared" si="2"/>
        <v>1.295306001</v>
      </c>
    </row>
    <row r="745">
      <c r="A745" s="88">
        <v>44690.0</v>
      </c>
      <c r="B745" s="89">
        <v>2030.0</v>
      </c>
      <c r="C745" s="89">
        <v>1.0</v>
      </c>
      <c r="D745" s="87" t="s">
        <v>205</v>
      </c>
      <c r="E745" s="89">
        <v>0.0</v>
      </c>
      <c r="F745" s="89">
        <v>0.5606</v>
      </c>
      <c r="G745" s="89">
        <v>0.522</v>
      </c>
      <c r="H745" s="98"/>
      <c r="I745" s="90">
        <f t="shared" si="1"/>
        <v>0.07394636015</v>
      </c>
      <c r="J745" s="81">
        <f t="shared" si="2"/>
        <v>0.9311452016</v>
      </c>
    </row>
    <row r="746">
      <c r="A746" s="88">
        <v>44690.0</v>
      </c>
      <c r="B746" s="89">
        <v>2091.0</v>
      </c>
      <c r="C746" s="89">
        <v>1.0</v>
      </c>
      <c r="D746" s="87" t="s">
        <v>205</v>
      </c>
      <c r="E746" s="89">
        <v>1.0</v>
      </c>
      <c r="F746" s="89">
        <v>0.4477</v>
      </c>
      <c r="G746" s="89">
        <v>0.285</v>
      </c>
      <c r="H746" s="98"/>
      <c r="I746" s="90">
        <f t="shared" si="1"/>
        <v>0.570877193</v>
      </c>
      <c r="J746" s="81">
        <f t="shared" si="2"/>
        <v>0.6365870002</v>
      </c>
    </row>
    <row r="747">
      <c r="A747" s="88">
        <v>44690.0</v>
      </c>
      <c r="B747" s="89">
        <v>2092.0</v>
      </c>
      <c r="C747" s="89">
        <v>3.0</v>
      </c>
      <c r="D747" s="87" t="s">
        <v>205</v>
      </c>
      <c r="E747" s="89">
        <v>1.0</v>
      </c>
      <c r="F747" s="89">
        <v>1.1203</v>
      </c>
      <c r="G747" s="89">
        <v>0.693</v>
      </c>
      <c r="H747" s="98"/>
      <c r="I747" s="90">
        <f t="shared" si="1"/>
        <v>0.6165945166</v>
      </c>
      <c r="J747" s="81">
        <f t="shared" si="2"/>
        <v>0.6185843078</v>
      </c>
    </row>
    <row r="748">
      <c r="A748" s="88">
        <v>44690.0</v>
      </c>
      <c r="B748" s="89">
        <v>2029.0</v>
      </c>
      <c r="C748" s="89">
        <v>2.0</v>
      </c>
      <c r="D748" s="87" t="s">
        <v>205</v>
      </c>
      <c r="E748" s="89">
        <v>1.0</v>
      </c>
      <c r="F748" s="89">
        <v>1.2912</v>
      </c>
      <c r="G748" s="89">
        <v>0.7638</v>
      </c>
      <c r="H748" s="98"/>
      <c r="I748" s="90">
        <f t="shared" si="1"/>
        <v>0.690494894</v>
      </c>
      <c r="J748" s="81">
        <f t="shared" si="2"/>
        <v>0.5915427509</v>
      </c>
    </row>
    <row r="749">
      <c r="A749" s="88">
        <v>44690.0</v>
      </c>
      <c r="B749" s="89">
        <v>2093.0</v>
      </c>
      <c r="C749" s="89">
        <v>1.0</v>
      </c>
      <c r="D749" s="87" t="s">
        <v>205</v>
      </c>
      <c r="E749" s="89">
        <v>1.0</v>
      </c>
      <c r="F749" s="89">
        <v>1.6544</v>
      </c>
      <c r="G749" s="89">
        <v>0.977</v>
      </c>
      <c r="H749" s="98"/>
      <c r="I749" s="90">
        <f t="shared" si="1"/>
        <v>0.6933469806</v>
      </c>
      <c r="J749" s="81">
        <f t="shared" si="2"/>
        <v>0.5905464217</v>
      </c>
    </row>
    <row r="750">
      <c r="A750" s="88">
        <v>44690.0</v>
      </c>
      <c r="B750" s="89">
        <v>2092.0</v>
      </c>
      <c r="C750" s="89">
        <v>2.0</v>
      </c>
      <c r="D750" s="87" t="s">
        <v>205</v>
      </c>
      <c r="E750" s="89">
        <v>1.0</v>
      </c>
      <c r="F750" s="89">
        <v>0.6106</v>
      </c>
      <c r="G750" s="89">
        <v>0.36</v>
      </c>
      <c r="H750" s="98"/>
      <c r="I750" s="90">
        <f t="shared" si="1"/>
        <v>0.6961111111</v>
      </c>
      <c r="J750" s="81">
        <f t="shared" si="2"/>
        <v>0.5895840157</v>
      </c>
    </row>
    <row r="751">
      <c r="A751" s="88">
        <v>44690.0</v>
      </c>
      <c r="B751" s="89">
        <v>2092.0</v>
      </c>
      <c r="C751" s="89">
        <v>1.0</v>
      </c>
      <c r="D751" s="87" t="s">
        <v>205</v>
      </c>
      <c r="E751" s="89">
        <v>1.0</v>
      </c>
      <c r="F751" s="89">
        <v>0.6412</v>
      </c>
      <c r="G751" s="89">
        <v>0.376</v>
      </c>
      <c r="H751" s="98"/>
      <c r="I751" s="90">
        <f t="shared" si="1"/>
        <v>0.7053191489</v>
      </c>
      <c r="J751" s="81">
        <f t="shared" si="2"/>
        <v>0.5864004991</v>
      </c>
    </row>
    <row r="752">
      <c r="A752" s="88">
        <v>44690.0</v>
      </c>
      <c r="B752" s="89">
        <v>2093.0</v>
      </c>
      <c r="C752" s="89">
        <v>3.0</v>
      </c>
      <c r="D752" s="87" t="s">
        <v>205</v>
      </c>
      <c r="E752" s="89">
        <v>1.0</v>
      </c>
      <c r="F752" s="89">
        <v>1.5782</v>
      </c>
      <c r="G752" s="89">
        <v>0.9233</v>
      </c>
      <c r="H752" s="98"/>
      <c r="I752" s="90">
        <f t="shared" si="1"/>
        <v>0.709303585</v>
      </c>
      <c r="J752" s="81">
        <f t="shared" si="2"/>
        <v>0.5850335826</v>
      </c>
    </row>
    <row r="753">
      <c r="A753" s="88">
        <v>44690.0</v>
      </c>
      <c r="B753" s="89">
        <v>2028.0</v>
      </c>
      <c r="C753" s="89">
        <v>1.0</v>
      </c>
      <c r="D753" s="87" t="s">
        <v>205</v>
      </c>
      <c r="E753" s="89">
        <v>0.0</v>
      </c>
      <c r="F753" s="89">
        <v>1.2822</v>
      </c>
      <c r="G753" s="89">
        <v>0.741</v>
      </c>
      <c r="H753" s="98"/>
      <c r="I753" s="90">
        <f t="shared" si="1"/>
        <v>0.7303643725</v>
      </c>
      <c r="J753" s="81">
        <f t="shared" si="2"/>
        <v>0.5779129621</v>
      </c>
    </row>
    <row r="754">
      <c r="A754" s="88">
        <v>44690.0</v>
      </c>
      <c r="B754" s="89">
        <v>2093.0</v>
      </c>
      <c r="C754" s="89">
        <v>2.0</v>
      </c>
      <c r="D754" s="87" t="s">
        <v>205</v>
      </c>
      <c r="E754" s="89">
        <v>1.0</v>
      </c>
      <c r="F754" s="89">
        <v>0.981</v>
      </c>
      <c r="G754" s="89">
        <v>0.5657</v>
      </c>
      <c r="H754" s="98"/>
      <c r="I754" s="90">
        <f t="shared" si="1"/>
        <v>0.7341347004</v>
      </c>
      <c r="J754" s="81">
        <f t="shared" si="2"/>
        <v>0.576656473</v>
      </c>
    </row>
    <row r="755">
      <c r="A755" s="88">
        <v>44690.0</v>
      </c>
      <c r="B755" s="89">
        <v>2030.0</v>
      </c>
      <c r="C755" s="89">
        <v>1.0</v>
      </c>
      <c r="D755" s="87" t="s">
        <v>205</v>
      </c>
      <c r="E755" s="89">
        <v>1.0</v>
      </c>
      <c r="F755" s="89">
        <v>0.6378</v>
      </c>
      <c r="G755" s="89">
        <v>0.364</v>
      </c>
      <c r="H755" s="98"/>
      <c r="I755" s="90">
        <f t="shared" si="1"/>
        <v>0.7521978022</v>
      </c>
      <c r="J755" s="81">
        <f t="shared" si="2"/>
        <v>0.5707118219</v>
      </c>
    </row>
    <row r="756">
      <c r="A756" s="88">
        <v>44690.0</v>
      </c>
      <c r="B756" s="89">
        <v>2030.0</v>
      </c>
      <c r="C756" s="89">
        <v>3.0</v>
      </c>
      <c r="D756" s="87" t="s">
        <v>205</v>
      </c>
      <c r="E756" s="89">
        <v>1.0</v>
      </c>
      <c r="F756" s="89">
        <v>1.1948</v>
      </c>
      <c r="G756" s="89">
        <v>0.679</v>
      </c>
      <c r="H756" s="98"/>
      <c r="I756" s="90">
        <f t="shared" si="1"/>
        <v>0.759646539</v>
      </c>
      <c r="J756" s="81">
        <f t="shared" si="2"/>
        <v>0.5682959491</v>
      </c>
    </row>
    <row r="757">
      <c r="A757" s="88">
        <v>44690.0</v>
      </c>
      <c r="B757" s="89">
        <v>2029.0</v>
      </c>
      <c r="C757" s="89">
        <v>3.0</v>
      </c>
      <c r="D757" s="87" t="s">
        <v>205</v>
      </c>
      <c r="E757" s="89">
        <v>0.0</v>
      </c>
      <c r="F757" s="89">
        <v>1.0007</v>
      </c>
      <c r="G757" s="89">
        <v>0.568</v>
      </c>
      <c r="H757" s="98"/>
      <c r="I757" s="90">
        <f t="shared" si="1"/>
        <v>0.7617957746</v>
      </c>
      <c r="J757" s="81">
        <f t="shared" si="2"/>
        <v>0.5676026781</v>
      </c>
    </row>
    <row r="758">
      <c r="A758" s="88">
        <v>44690.0</v>
      </c>
      <c r="B758" s="89">
        <v>2028.0</v>
      </c>
      <c r="C758" s="89">
        <v>2.0</v>
      </c>
      <c r="D758" s="87" t="s">
        <v>205</v>
      </c>
      <c r="E758" s="89">
        <v>0.0</v>
      </c>
      <c r="F758" s="89">
        <v>1.2257</v>
      </c>
      <c r="G758" s="89">
        <v>0.695</v>
      </c>
      <c r="H758" s="98"/>
      <c r="I758" s="90">
        <f t="shared" si="1"/>
        <v>0.7635971223</v>
      </c>
      <c r="J758" s="81">
        <f t="shared" si="2"/>
        <v>0.5670229257</v>
      </c>
    </row>
    <row r="759">
      <c r="A759" s="88">
        <v>44690.0</v>
      </c>
      <c r="B759" s="89">
        <v>2023.0</v>
      </c>
      <c r="C759" s="89">
        <v>1.0</v>
      </c>
      <c r="D759" s="87" t="s">
        <v>205</v>
      </c>
      <c r="E759" s="89">
        <v>1.0</v>
      </c>
      <c r="F759" s="89">
        <v>1.4512</v>
      </c>
      <c r="G759" s="89">
        <v>0.8228</v>
      </c>
      <c r="H759" s="98"/>
      <c r="I759" s="90">
        <f t="shared" si="1"/>
        <v>0.7637335926</v>
      </c>
      <c r="J759" s="81">
        <f t="shared" si="2"/>
        <v>0.5669790518</v>
      </c>
    </row>
    <row r="760">
      <c r="A760" s="88">
        <v>44690.0</v>
      </c>
      <c r="B760" s="89">
        <v>2026.0</v>
      </c>
      <c r="C760" s="89">
        <v>1.0</v>
      </c>
      <c r="D760" s="87" t="s">
        <v>204</v>
      </c>
      <c r="E760" s="89">
        <v>1.0</v>
      </c>
      <c r="F760" s="89">
        <v>0.355</v>
      </c>
      <c r="G760" s="89">
        <v>0.2</v>
      </c>
      <c r="H760" s="98"/>
      <c r="I760" s="90">
        <f t="shared" si="1"/>
        <v>0.775</v>
      </c>
      <c r="J760" s="81">
        <f t="shared" si="2"/>
        <v>0.5633802817</v>
      </c>
    </row>
    <row r="761">
      <c r="A761" s="88">
        <v>44690.0</v>
      </c>
      <c r="B761" s="89">
        <v>2005.0</v>
      </c>
      <c r="C761" s="89">
        <v>3.0</v>
      </c>
      <c r="D761" s="87" t="s">
        <v>205</v>
      </c>
      <c r="E761" s="89">
        <v>0.0</v>
      </c>
      <c r="F761" s="89">
        <v>1.0888</v>
      </c>
      <c r="G761" s="89">
        <v>0.609</v>
      </c>
      <c r="H761" s="98"/>
      <c r="I761" s="90">
        <f t="shared" si="1"/>
        <v>0.7878489327</v>
      </c>
      <c r="J761" s="81">
        <f t="shared" si="2"/>
        <v>0.559331374</v>
      </c>
    </row>
    <row r="762">
      <c r="A762" s="88">
        <v>44690.0</v>
      </c>
      <c r="B762" s="89">
        <v>2007.0</v>
      </c>
      <c r="C762" s="89">
        <v>2.0</v>
      </c>
      <c r="D762" s="87" t="s">
        <v>205</v>
      </c>
      <c r="E762" s="89">
        <v>0.0</v>
      </c>
      <c r="F762" s="89">
        <v>0.53</v>
      </c>
      <c r="G762" s="89">
        <v>0.294</v>
      </c>
      <c r="H762" s="98"/>
      <c r="I762" s="90">
        <f t="shared" si="1"/>
        <v>0.8027210884</v>
      </c>
      <c r="J762" s="81">
        <f t="shared" si="2"/>
        <v>0.5547169811</v>
      </c>
    </row>
    <row r="763">
      <c r="A763" s="88">
        <v>44690.0</v>
      </c>
      <c r="B763" s="89">
        <v>2092.0</v>
      </c>
      <c r="C763" s="89">
        <v>1.0</v>
      </c>
      <c r="D763" s="87" t="s">
        <v>204</v>
      </c>
      <c r="E763" s="89">
        <v>1.0</v>
      </c>
      <c r="F763" s="89">
        <v>0.0818</v>
      </c>
      <c r="G763" s="89">
        <v>0.045</v>
      </c>
      <c r="H763" s="98"/>
      <c r="I763" s="90">
        <f t="shared" si="1"/>
        <v>0.8177777778</v>
      </c>
      <c r="J763" s="81">
        <f t="shared" si="2"/>
        <v>0.5501222494</v>
      </c>
    </row>
    <row r="764">
      <c r="A764" s="88">
        <v>44690.0</v>
      </c>
      <c r="B764" s="89">
        <v>2022.0</v>
      </c>
      <c r="C764" s="89">
        <v>3.0</v>
      </c>
      <c r="D764" s="87" t="s">
        <v>205</v>
      </c>
      <c r="E764" s="89">
        <v>1.0</v>
      </c>
      <c r="F764" s="89">
        <v>1.29</v>
      </c>
      <c r="G764" s="89">
        <v>0.7086</v>
      </c>
      <c r="H764" s="98"/>
      <c r="I764" s="90">
        <f t="shared" si="1"/>
        <v>0.8204911092</v>
      </c>
      <c r="J764" s="81">
        <f t="shared" si="2"/>
        <v>0.5493023256</v>
      </c>
    </row>
    <row r="765">
      <c r="A765" s="88">
        <v>44690.0</v>
      </c>
      <c r="B765" s="89">
        <v>2022.0</v>
      </c>
      <c r="C765" s="89">
        <v>1.0</v>
      </c>
      <c r="D765" s="87" t="s">
        <v>205</v>
      </c>
      <c r="E765" s="89">
        <v>1.0</v>
      </c>
      <c r="F765" s="89">
        <v>0.3887</v>
      </c>
      <c r="G765" s="89">
        <v>0.2121</v>
      </c>
      <c r="H765" s="98"/>
      <c r="I765" s="90">
        <f t="shared" si="1"/>
        <v>0.8326261198</v>
      </c>
      <c r="J765" s="81">
        <f t="shared" si="2"/>
        <v>0.5456650373</v>
      </c>
    </row>
    <row r="766">
      <c r="A766" s="88">
        <v>44690.0</v>
      </c>
      <c r="B766" s="89">
        <v>2089.0</v>
      </c>
      <c r="C766" s="89">
        <v>2.0</v>
      </c>
      <c r="D766" s="87" t="s">
        <v>205</v>
      </c>
      <c r="E766" s="89">
        <v>0.0</v>
      </c>
      <c r="F766" s="89">
        <v>0.8859</v>
      </c>
      <c r="G766" s="89">
        <v>0.483</v>
      </c>
      <c r="H766" s="98"/>
      <c r="I766" s="90">
        <f t="shared" si="1"/>
        <v>0.8341614907</v>
      </c>
      <c r="J766" s="81">
        <f t="shared" si="2"/>
        <v>0.5452082628</v>
      </c>
    </row>
    <row r="767">
      <c r="A767" s="88">
        <v>44690.0</v>
      </c>
      <c r="B767" s="89">
        <v>2092.0</v>
      </c>
      <c r="C767" s="89">
        <v>1.0</v>
      </c>
      <c r="D767" s="87" t="s">
        <v>204</v>
      </c>
      <c r="E767" s="89">
        <v>1.0</v>
      </c>
      <c r="F767" s="89">
        <v>0.1033</v>
      </c>
      <c r="G767" s="89">
        <v>0.056</v>
      </c>
      <c r="H767" s="98"/>
      <c r="I767" s="90">
        <f t="shared" si="1"/>
        <v>0.8446428571</v>
      </c>
      <c r="J767" s="81">
        <f t="shared" si="2"/>
        <v>0.5421103582</v>
      </c>
    </row>
    <row r="768">
      <c r="A768" s="88">
        <v>44690.0</v>
      </c>
      <c r="B768" s="89">
        <v>2005.0</v>
      </c>
      <c r="C768" s="89">
        <v>2.0</v>
      </c>
      <c r="D768" s="87" t="s">
        <v>205</v>
      </c>
      <c r="E768" s="89">
        <v>0.0</v>
      </c>
      <c r="F768" s="89">
        <v>0.853</v>
      </c>
      <c r="G768" s="89">
        <v>0.461</v>
      </c>
      <c r="H768" s="98"/>
      <c r="I768" s="90">
        <f t="shared" si="1"/>
        <v>0.8503253796</v>
      </c>
      <c r="J768" s="81">
        <f t="shared" si="2"/>
        <v>0.5404454865</v>
      </c>
    </row>
    <row r="769">
      <c r="A769" s="88">
        <v>44690.0</v>
      </c>
      <c r="B769" s="89">
        <v>2007.0</v>
      </c>
      <c r="C769" s="89">
        <v>3.0</v>
      </c>
      <c r="D769" s="87" t="s">
        <v>205</v>
      </c>
      <c r="E769" s="89">
        <v>0.0</v>
      </c>
      <c r="F769" s="89">
        <v>0.9165</v>
      </c>
      <c r="G769" s="89">
        <v>0.493</v>
      </c>
      <c r="H769" s="98"/>
      <c r="I769" s="90">
        <f t="shared" si="1"/>
        <v>0.8590263692</v>
      </c>
      <c r="J769" s="81">
        <f t="shared" si="2"/>
        <v>0.5379159847</v>
      </c>
    </row>
    <row r="770">
      <c r="A770" s="88">
        <v>44690.0</v>
      </c>
      <c r="B770" s="89">
        <v>2089.0</v>
      </c>
      <c r="C770" s="89">
        <v>1.0</v>
      </c>
      <c r="D770" s="87" t="s">
        <v>205</v>
      </c>
      <c r="E770" s="89">
        <v>1.0</v>
      </c>
      <c r="F770" s="89">
        <v>0.514</v>
      </c>
      <c r="G770" s="89">
        <v>0.276</v>
      </c>
      <c r="H770" s="98"/>
      <c r="I770" s="90">
        <f t="shared" si="1"/>
        <v>0.8623188406</v>
      </c>
      <c r="J770" s="81">
        <f t="shared" si="2"/>
        <v>0.5369649805</v>
      </c>
    </row>
    <row r="771">
      <c r="A771" s="88">
        <v>44690.0</v>
      </c>
      <c r="B771" s="89">
        <v>2029.0</v>
      </c>
      <c r="C771" s="89">
        <v>3.0</v>
      </c>
      <c r="D771" s="87" t="s">
        <v>205</v>
      </c>
      <c r="E771" s="89">
        <v>1.0</v>
      </c>
      <c r="F771" s="89">
        <v>0.9334</v>
      </c>
      <c r="G771" s="89">
        <v>0.4988</v>
      </c>
      <c r="H771" s="98"/>
      <c r="I771" s="90">
        <f t="shared" si="1"/>
        <v>0.8712910986</v>
      </c>
      <c r="J771" s="81">
        <f t="shared" si="2"/>
        <v>0.5343904007</v>
      </c>
    </row>
    <row r="772">
      <c r="A772" s="88">
        <v>44690.0</v>
      </c>
      <c r="B772" s="89">
        <v>2023.0</v>
      </c>
      <c r="C772" s="89">
        <v>2.0</v>
      </c>
      <c r="D772" s="87" t="s">
        <v>205</v>
      </c>
      <c r="E772" s="89">
        <v>1.0</v>
      </c>
      <c r="F772" s="89">
        <v>1.3081</v>
      </c>
      <c r="G772" s="89">
        <v>0.6988</v>
      </c>
      <c r="H772" s="98"/>
      <c r="I772" s="90">
        <f t="shared" si="1"/>
        <v>0.8719232971</v>
      </c>
      <c r="J772" s="81">
        <f t="shared" si="2"/>
        <v>0.5342099228</v>
      </c>
    </row>
    <row r="773">
      <c r="A773" s="88">
        <v>44690.0</v>
      </c>
      <c r="B773" s="89">
        <v>2030.0</v>
      </c>
      <c r="C773" s="89">
        <v>2.0</v>
      </c>
      <c r="D773" s="87" t="s">
        <v>205</v>
      </c>
      <c r="E773" s="89">
        <v>0.0</v>
      </c>
      <c r="F773" s="89">
        <v>2.4629</v>
      </c>
      <c r="G773" s="89">
        <v>1.314</v>
      </c>
      <c r="H773" s="98"/>
      <c r="I773" s="90">
        <f t="shared" si="1"/>
        <v>0.8743531202</v>
      </c>
      <c r="J773" s="81">
        <f t="shared" si="2"/>
        <v>0.5335173982</v>
      </c>
    </row>
    <row r="774">
      <c r="A774" s="88">
        <v>44690.0</v>
      </c>
      <c r="B774" s="89">
        <v>2005.0</v>
      </c>
      <c r="C774" s="89">
        <v>2.0</v>
      </c>
      <c r="D774" s="87" t="s">
        <v>204</v>
      </c>
      <c r="E774" s="89">
        <v>1.0</v>
      </c>
      <c r="F774" s="89">
        <v>0.1106</v>
      </c>
      <c r="G774" s="89">
        <v>0.059</v>
      </c>
      <c r="H774" s="98"/>
      <c r="I774" s="90">
        <f t="shared" si="1"/>
        <v>0.8745762712</v>
      </c>
      <c r="J774" s="81">
        <f t="shared" si="2"/>
        <v>0.5334538879</v>
      </c>
    </row>
    <row r="775">
      <c r="A775" s="88">
        <v>44690.0</v>
      </c>
      <c r="B775" s="89">
        <v>2007.0</v>
      </c>
      <c r="C775" s="89">
        <v>1.0</v>
      </c>
      <c r="D775" s="87" t="s">
        <v>205</v>
      </c>
      <c r="E775" s="89">
        <v>0.0</v>
      </c>
      <c r="F775" s="89">
        <v>0.4449</v>
      </c>
      <c r="G775" s="89">
        <v>0.237</v>
      </c>
      <c r="H775" s="98"/>
      <c r="I775" s="90">
        <f t="shared" si="1"/>
        <v>0.8772151899</v>
      </c>
      <c r="J775" s="81">
        <f t="shared" si="2"/>
        <v>0.5327039784</v>
      </c>
    </row>
    <row r="776">
      <c r="A776" s="88">
        <v>44690.0</v>
      </c>
      <c r="B776" s="89">
        <v>2005.0</v>
      </c>
      <c r="C776" s="89">
        <v>3.0</v>
      </c>
      <c r="D776" s="87" t="s">
        <v>204</v>
      </c>
      <c r="E776" s="89">
        <v>1.0</v>
      </c>
      <c r="F776" s="89">
        <v>0.275</v>
      </c>
      <c r="G776" s="89">
        <v>0.146</v>
      </c>
      <c r="H776" s="98"/>
      <c r="I776" s="90">
        <f t="shared" si="1"/>
        <v>0.8835616438</v>
      </c>
      <c r="J776" s="81">
        <f t="shared" si="2"/>
        <v>0.5309090909</v>
      </c>
    </row>
    <row r="777">
      <c r="A777" s="88">
        <v>44690.0</v>
      </c>
      <c r="B777" s="89">
        <v>2020.0</v>
      </c>
      <c r="C777" s="89">
        <v>1.0</v>
      </c>
      <c r="D777" s="87" t="s">
        <v>204</v>
      </c>
      <c r="E777" s="89">
        <v>0.0</v>
      </c>
      <c r="F777" s="89">
        <v>0.0509</v>
      </c>
      <c r="G777" s="89">
        <v>0.027</v>
      </c>
      <c r="H777" s="98"/>
      <c r="I777" s="90">
        <f t="shared" si="1"/>
        <v>0.8851851852</v>
      </c>
      <c r="J777" s="81">
        <f t="shared" si="2"/>
        <v>0.5304518664</v>
      </c>
    </row>
    <row r="778">
      <c r="A778" s="88">
        <v>44690.0</v>
      </c>
      <c r="B778" s="89">
        <v>2028.0</v>
      </c>
      <c r="C778" s="89">
        <v>3.0</v>
      </c>
      <c r="D778" s="87" t="s">
        <v>205</v>
      </c>
      <c r="E778" s="89">
        <v>0.0</v>
      </c>
      <c r="F778" s="89">
        <v>1.6911</v>
      </c>
      <c r="G778" s="89">
        <v>0.895</v>
      </c>
      <c r="H778" s="98"/>
      <c r="I778" s="90">
        <f t="shared" si="1"/>
        <v>0.8894972067</v>
      </c>
      <c r="J778" s="81">
        <f t="shared" si="2"/>
        <v>0.5292413222</v>
      </c>
    </row>
    <row r="779">
      <c r="A779" s="88">
        <v>44690.0</v>
      </c>
      <c r="B779" s="89">
        <v>2092.0</v>
      </c>
      <c r="C779" s="89">
        <v>2.0</v>
      </c>
      <c r="D779" s="87" t="s">
        <v>205</v>
      </c>
      <c r="E779" s="89">
        <v>0.0</v>
      </c>
      <c r="F779" s="89">
        <v>0.384</v>
      </c>
      <c r="G779" s="89">
        <v>0.203</v>
      </c>
      <c r="H779" s="98"/>
      <c r="I779" s="90">
        <f t="shared" si="1"/>
        <v>0.8916256158</v>
      </c>
      <c r="J779" s="81">
        <f t="shared" si="2"/>
        <v>0.5286458333</v>
      </c>
    </row>
    <row r="780">
      <c r="A780" s="88">
        <v>44690.0</v>
      </c>
      <c r="B780" s="89">
        <v>2092.0</v>
      </c>
      <c r="C780" s="89">
        <v>3.0</v>
      </c>
      <c r="D780" s="87" t="s">
        <v>204</v>
      </c>
      <c r="E780" s="89">
        <v>1.0</v>
      </c>
      <c r="F780" s="89">
        <v>0.1988</v>
      </c>
      <c r="G780" s="89">
        <v>0.105</v>
      </c>
      <c r="H780" s="98"/>
      <c r="I780" s="90">
        <f t="shared" si="1"/>
        <v>0.8933333333</v>
      </c>
      <c r="J780" s="81">
        <f t="shared" si="2"/>
        <v>0.5281690141</v>
      </c>
    </row>
    <row r="781">
      <c r="A781" s="88">
        <v>44690.0</v>
      </c>
      <c r="B781" s="89">
        <v>2015.0</v>
      </c>
      <c r="C781" s="89">
        <v>1.0</v>
      </c>
      <c r="D781" s="87" t="s">
        <v>205</v>
      </c>
      <c r="E781" s="89">
        <v>0.0</v>
      </c>
      <c r="F781" s="89">
        <v>0.3545</v>
      </c>
      <c r="G781" s="89">
        <v>0.187</v>
      </c>
      <c r="H781" s="98"/>
      <c r="I781" s="90">
        <f t="shared" si="1"/>
        <v>0.8957219251</v>
      </c>
      <c r="J781" s="81">
        <f t="shared" si="2"/>
        <v>0.5275035261</v>
      </c>
    </row>
    <row r="782">
      <c r="A782" s="88">
        <v>44690.0</v>
      </c>
      <c r="B782" s="89">
        <v>2005.0</v>
      </c>
      <c r="C782" s="89">
        <v>3.0</v>
      </c>
      <c r="D782" s="87" t="s">
        <v>204</v>
      </c>
      <c r="E782" s="89">
        <v>1.0</v>
      </c>
      <c r="F782" s="89">
        <v>0.1024</v>
      </c>
      <c r="G782" s="89">
        <v>0.054</v>
      </c>
      <c r="H782" s="98"/>
      <c r="I782" s="90">
        <f t="shared" si="1"/>
        <v>0.8962962963</v>
      </c>
      <c r="J782" s="81">
        <f t="shared" si="2"/>
        <v>0.52734375</v>
      </c>
    </row>
    <row r="783">
      <c r="A783" s="88">
        <v>44690.0</v>
      </c>
      <c r="B783" s="89">
        <v>2028.0</v>
      </c>
      <c r="C783" s="89">
        <v>2.0</v>
      </c>
      <c r="D783" s="87" t="s">
        <v>204</v>
      </c>
      <c r="E783" s="89">
        <v>1.0</v>
      </c>
      <c r="F783" s="89">
        <v>0.2073</v>
      </c>
      <c r="G783" s="89">
        <v>0.109</v>
      </c>
      <c r="H783" s="98"/>
      <c r="I783" s="90">
        <f t="shared" si="1"/>
        <v>0.9018348624</v>
      </c>
      <c r="J783" s="81">
        <f t="shared" si="2"/>
        <v>0.5258080077</v>
      </c>
    </row>
    <row r="784">
      <c r="A784" s="88">
        <v>44690.0</v>
      </c>
      <c r="B784" s="89">
        <v>2015.0</v>
      </c>
      <c r="C784" s="89">
        <v>3.0</v>
      </c>
      <c r="D784" s="87" t="s">
        <v>205</v>
      </c>
      <c r="E784" s="89">
        <v>0.0</v>
      </c>
      <c r="F784" s="89">
        <v>0.6679</v>
      </c>
      <c r="G784" s="89">
        <v>0.351</v>
      </c>
      <c r="H784" s="98"/>
      <c r="I784" s="90">
        <f t="shared" si="1"/>
        <v>0.9028490028</v>
      </c>
      <c r="J784" s="81">
        <f t="shared" si="2"/>
        <v>0.5255277736</v>
      </c>
    </row>
    <row r="785">
      <c r="A785" s="88">
        <v>44690.0</v>
      </c>
      <c r="B785" s="89">
        <v>2030.0</v>
      </c>
      <c r="C785" s="89">
        <v>1.0</v>
      </c>
      <c r="D785" s="87" t="s">
        <v>204</v>
      </c>
      <c r="E785" s="89">
        <v>1.0</v>
      </c>
      <c r="F785" s="89">
        <v>0.467</v>
      </c>
      <c r="G785" s="89">
        <v>0.245</v>
      </c>
      <c r="H785" s="98"/>
      <c r="I785" s="90">
        <f t="shared" si="1"/>
        <v>0.906122449</v>
      </c>
      <c r="J785" s="81">
        <f t="shared" si="2"/>
        <v>0.5246252677</v>
      </c>
    </row>
    <row r="786">
      <c r="A786" s="88">
        <v>44690.0</v>
      </c>
      <c r="B786" s="89">
        <v>2020.0</v>
      </c>
      <c r="C786" s="89">
        <v>1.0</v>
      </c>
      <c r="D786" s="87" t="s">
        <v>205</v>
      </c>
      <c r="E786" s="89">
        <v>0.0</v>
      </c>
      <c r="F786" s="89">
        <v>1.0808</v>
      </c>
      <c r="G786" s="89">
        <v>0.567</v>
      </c>
      <c r="H786" s="98"/>
      <c r="I786" s="90">
        <f t="shared" si="1"/>
        <v>0.9061728395</v>
      </c>
      <c r="J786" s="81">
        <f t="shared" si="2"/>
        <v>0.524611399</v>
      </c>
    </row>
    <row r="787">
      <c r="A787" s="88">
        <v>44690.0</v>
      </c>
      <c r="B787" s="89">
        <v>2031.0</v>
      </c>
      <c r="C787" s="89">
        <v>3.0</v>
      </c>
      <c r="D787" s="87" t="s">
        <v>205</v>
      </c>
      <c r="E787" s="89">
        <v>0.0</v>
      </c>
      <c r="F787" s="89">
        <v>1.4773</v>
      </c>
      <c r="G787" s="89">
        <v>0.775</v>
      </c>
      <c r="H787" s="98"/>
      <c r="I787" s="90">
        <f t="shared" si="1"/>
        <v>0.9061935484</v>
      </c>
      <c r="J787" s="81">
        <f t="shared" si="2"/>
        <v>0.5246056996</v>
      </c>
    </row>
    <row r="788">
      <c r="A788" s="88">
        <v>44690.0</v>
      </c>
      <c r="B788" s="89">
        <v>2020.0</v>
      </c>
      <c r="C788" s="89">
        <v>3.0</v>
      </c>
      <c r="D788" s="87" t="s">
        <v>205</v>
      </c>
      <c r="E788" s="89">
        <v>0.0</v>
      </c>
      <c r="F788" s="89">
        <v>0.7628</v>
      </c>
      <c r="G788" s="89">
        <v>0.4</v>
      </c>
      <c r="H788" s="98"/>
      <c r="I788" s="90">
        <f t="shared" si="1"/>
        <v>0.907</v>
      </c>
      <c r="J788" s="81">
        <f t="shared" si="2"/>
        <v>0.524383849</v>
      </c>
    </row>
    <row r="789">
      <c r="A789" s="88">
        <v>44690.0</v>
      </c>
      <c r="B789" s="89">
        <v>2007.0</v>
      </c>
      <c r="C789" s="89">
        <v>3.0</v>
      </c>
      <c r="D789" s="87" t="s">
        <v>204</v>
      </c>
      <c r="E789" s="89">
        <v>1.0</v>
      </c>
      <c r="F789" s="89">
        <v>0.1261</v>
      </c>
      <c r="G789" s="89">
        <v>0.066</v>
      </c>
      <c r="H789" s="98"/>
      <c r="I789" s="90">
        <f t="shared" si="1"/>
        <v>0.9106060606</v>
      </c>
      <c r="J789" s="81">
        <f t="shared" si="2"/>
        <v>0.5233941316</v>
      </c>
    </row>
    <row r="790">
      <c r="A790" s="88">
        <v>44690.0</v>
      </c>
      <c r="B790" s="89">
        <v>2030.0</v>
      </c>
      <c r="C790" s="89">
        <v>3.0</v>
      </c>
      <c r="D790" s="87" t="s">
        <v>205</v>
      </c>
      <c r="E790" s="89">
        <v>0.0</v>
      </c>
      <c r="F790" s="89">
        <v>1.0264</v>
      </c>
      <c r="G790" s="89">
        <v>0.537</v>
      </c>
      <c r="H790" s="98"/>
      <c r="I790" s="90">
        <f t="shared" si="1"/>
        <v>0.9113594041</v>
      </c>
      <c r="J790" s="81">
        <f t="shared" si="2"/>
        <v>0.523187841</v>
      </c>
    </row>
    <row r="791">
      <c r="A791" s="88">
        <v>44690.0</v>
      </c>
      <c r="B791" s="89">
        <v>2015.0</v>
      </c>
      <c r="C791" s="89">
        <v>3.0</v>
      </c>
      <c r="D791" s="87" t="s">
        <v>204</v>
      </c>
      <c r="E791" s="89">
        <v>1.0</v>
      </c>
      <c r="F791" s="89">
        <v>0.1225</v>
      </c>
      <c r="G791" s="89">
        <v>0.064</v>
      </c>
      <c r="H791" s="98"/>
      <c r="I791" s="90">
        <f t="shared" si="1"/>
        <v>0.9140625</v>
      </c>
      <c r="J791" s="81">
        <f t="shared" si="2"/>
        <v>0.5224489796</v>
      </c>
    </row>
    <row r="792">
      <c r="A792" s="88">
        <v>44690.0</v>
      </c>
      <c r="B792" s="89">
        <v>2022.0</v>
      </c>
      <c r="C792" s="89">
        <v>1.0</v>
      </c>
      <c r="D792" s="87" t="s">
        <v>204</v>
      </c>
      <c r="E792" s="89">
        <v>1.0</v>
      </c>
      <c r="F792" s="89">
        <v>0.4384</v>
      </c>
      <c r="G792" s="89">
        <v>0.229</v>
      </c>
      <c r="H792" s="98"/>
      <c r="I792" s="90">
        <f t="shared" si="1"/>
        <v>0.9144104803</v>
      </c>
      <c r="J792" s="81">
        <f t="shared" si="2"/>
        <v>0.5223540146</v>
      </c>
    </row>
    <row r="793">
      <c r="A793" s="88">
        <v>44690.0</v>
      </c>
      <c r="B793" s="89">
        <v>2026.0</v>
      </c>
      <c r="C793" s="89">
        <v>1.0</v>
      </c>
      <c r="D793" s="87" t="s">
        <v>205</v>
      </c>
      <c r="E793" s="89">
        <v>0.0</v>
      </c>
      <c r="F793" s="89">
        <v>2.4425</v>
      </c>
      <c r="G793" s="89">
        <v>1.275</v>
      </c>
      <c r="H793" s="98"/>
      <c r="I793" s="90">
        <f t="shared" si="1"/>
        <v>0.9156862745</v>
      </c>
      <c r="J793" s="81">
        <f t="shared" si="2"/>
        <v>0.5220061412</v>
      </c>
    </row>
    <row r="794">
      <c r="A794" s="88">
        <v>44690.0</v>
      </c>
      <c r="B794" s="89">
        <v>2030.0</v>
      </c>
      <c r="C794" s="89">
        <v>3.0</v>
      </c>
      <c r="D794" s="87" t="s">
        <v>204</v>
      </c>
      <c r="E794" s="89">
        <v>0.0</v>
      </c>
      <c r="F794" s="89">
        <v>0.0786</v>
      </c>
      <c r="G794" s="89">
        <v>0.041</v>
      </c>
      <c r="H794" s="98"/>
      <c r="I794" s="90">
        <f t="shared" si="1"/>
        <v>0.9170731707</v>
      </c>
      <c r="J794" s="81">
        <f t="shared" si="2"/>
        <v>0.5216284987</v>
      </c>
    </row>
    <row r="795">
      <c r="A795" s="88">
        <v>44690.0</v>
      </c>
      <c r="B795" s="89">
        <v>2005.0</v>
      </c>
      <c r="C795" s="89">
        <v>2.0</v>
      </c>
      <c r="D795" s="87" t="s">
        <v>204</v>
      </c>
      <c r="E795" s="89">
        <v>0.0</v>
      </c>
      <c r="F795" s="89">
        <v>0.1189</v>
      </c>
      <c r="G795" s="89">
        <v>0.062</v>
      </c>
      <c r="H795" s="98"/>
      <c r="I795" s="90">
        <f t="shared" si="1"/>
        <v>0.9177419355</v>
      </c>
      <c r="J795" s="81">
        <f t="shared" si="2"/>
        <v>0.5214465938</v>
      </c>
    </row>
    <row r="796">
      <c r="A796" s="88">
        <v>44690.0</v>
      </c>
      <c r="B796" s="89">
        <v>2005.0</v>
      </c>
      <c r="C796" s="89">
        <v>1.0</v>
      </c>
      <c r="D796" s="87" t="s">
        <v>205</v>
      </c>
      <c r="E796" s="89">
        <v>0.0</v>
      </c>
      <c r="F796" s="89">
        <v>0.8216</v>
      </c>
      <c r="G796" s="89">
        <v>0.428</v>
      </c>
      <c r="H796" s="98"/>
      <c r="I796" s="90">
        <f t="shared" si="1"/>
        <v>0.9196261682</v>
      </c>
      <c r="J796" s="81">
        <f t="shared" si="2"/>
        <v>0.5209347614</v>
      </c>
    </row>
    <row r="797">
      <c r="A797" s="88">
        <v>44690.0</v>
      </c>
      <c r="B797" s="89">
        <v>2029.0</v>
      </c>
      <c r="C797" s="89">
        <v>2.0</v>
      </c>
      <c r="D797" s="87" t="s">
        <v>205</v>
      </c>
      <c r="E797" s="89">
        <v>0.0</v>
      </c>
      <c r="F797" s="89">
        <v>1.1397</v>
      </c>
      <c r="G797" s="89">
        <v>0.5917</v>
      </c>
      <c r="H797" s="98"/>
      <c r="I797" s="90">
        <f t="shared" si="1"/>
        <v>0.9261450059</v>
      </c>
      <c r="J797" s="81">
        <f t="shared" si="2"/>
        <v>0.5191717119</v>
      </c>
    </row>
    <row r="798">
      <c r="A798" s="88">
        <v>44690.0</v>
      </c>
      <c r="B798" s="89">
        <v>2029.0</v>
      </c>
      <c r="C798" s="89">
        <v>1.0</v>
      </c>
      <c r="D798" s="87" t="s">
        <v>205</v>
      </c>
      <c r="E798" s="89">
        <v>0.0</v>
      </c>
      <c r="F798" s="89">
        <v>2.0579</v>
      </c>
      <c r="G798" s="89">
        <v>1.0677</v>
      </c>
      <c r="H798" s="98"/>
      <c r="I798" s="90">
        <f t="shared" si="1"/>
        <v>0.9274140676</v>
      </c>
      <c r="J798" s="81">
        <f t="shared" si="2"/>
        <v>0.5188298751</v>
      </c>
    </row>
    <row r="799">
      <c r="A799" s="88">
        <v>44690.0</v>
      </c>
      <c r="B799" s="89">
        <v>2007.0</v>
      </c>
      <c r="C799" s="89">
        <v>2.0</v>
      </c>
      <c r="D799" s="87" t="s">
        <v>204</v>
      </c>
      <c r="E799" s="89">
        <v>1.0</v>
      </c>
      <c r="F799" s="89">
        <v>0.2988</v>
      </c>
      <c r="G799" s="89">
        <v>0.155</v>
      </c>
      <c r="H799" s="98"/>
      <c r="I799" s="90">
        <f t="shared" si="1"/>
        <v>0.9277419355</v>
      </c>
      <c r="J799" s="81">
        <f t="shared" si="2"/>
        <v>0.5187416332</v>
      </c>
    </row>
    <row r="800">
      <c r="A800" s="88">
        <v>44690.0</v>
      </c>
      <c r="B800" s="89">
        <v>2029.0</v>
      </c>
      <c r="C800" s="89">
        <v>2.0</v>
      </c>
      <c r="D800" s="87" t="s">
        <v>204</v>
      </c>
      <c r="E800" s="89">
        <v>1.0</v>
      </c>
      <c r="F800" s="89">
        <v>0.2978</v>
      </c>
      <c r="G800" s="99">
        <v>0.154</v>
      </c>
      <c r="H800" s="98"/>
      <c r="I800" s="90">
        <f t="shared" si="1"/>
        <v>0.9337662338</v>
      </c>
      <c r="J800" s="81">
        <f t="shared" si="2"/>
        <v>0.5171255876</v>
      </c>
    </row>
    <row r="801">
      <c r="A801" s="88">
        <v>44690.0</v>
      </c>
      <c r="B801" s="89">
        <v>2022.0</v>
      </c>
      <c r="C801" s="89">
        <v>1.0</v>
      </c>
      <c r="D801" s="87" t="s">
        <v>205</v>
      </c>
      <c r="E801" s="89">
        <v>0.0</v>
      </c>
      <c r="F801" s="89">
        <v>1.3589</v>
      </c>
      <c r="G801" s="89">
        <v>0.7013</v>
      </c>
      <c r="H801" s="98"/>
      <c r="I801" s="90">
        <f t="shared" si="1"/>
        <v>0.9376871524</v>
      </c>
      <c r="J801" s="81">
        <f t="shared" si="2"/>
        <v>0.5160791817</v>
      </c>
    </row>
    <row r="802">
      <c r="A802" s="88">
        <v>44690.0</v>
      </c>
      <c r="B802" s="89">
        <v>2024.0</v>
      </c>
      <c r="C802" s="89">
        <v>1.0</v>
      </c>
      <c r="D802" s="87" t="s">
        <v>205</v>
      </c>
      <c r="E802" s="89">
        <v>0.0</v>
      </c>
      <c r="F802" s="89">
        <v>1.8365</v>
      </c>
      <c r="G802" s="89">
        <v>0.947</v>
      </c>
      <c r="H802" s="98"/>
      <c r="I802" s="90">
        <f t="shared" si="1"/>
        <v>0.939281943</v>
      </c>
      <c r="J802" s="81">
        <f t="shared" si="2"/>
        <v>0.5156547781</v>
      </c>
    </row>
    <row r="803">
      <c r="A803" s="88">
        <v>44690.0</v>
      </c>
      <c r="B803" s="89">
        <v>2025.0</v>
      </c>
      <c r="C803" s="89">
        <v>3.0</v>
      </c>
      <c r="D803" s="87" t="s">
        <v>204</v>
      </c>
      <c r="E803" s="89">
        <v>1.0</v>
      </c>
      <c r="F803" s="89">
        <v>0.4827</v>
      </c>
      <c r="G803" s="89">
        <v>0.2489</v>
      </c>
      <c r="H803" s="98"/>
      <c r="I803" s="90">
        <f t="shared" si="1"/>
        <v>0.9393330655</v>
      </c>
      <c r="J803" s="81">
        <f t="shared" si="2"/>
        <v>0.515641185</v>
      </c>
    </row>
    <row r="804">
      <c r="A804" s="88">
        <v>44690.0</v>
      </c>
      <c r="B804" s="89">
        <v>2021.0</v>
      </c>
      <c r="C804" s="89">
        <v>1.0</v>
      </c>
      <c r="D804" s="87" t="s">
        <v>205</v>
      </c>
      <c r="E804" s="89">
        <v>0.0</v>
      </c>
      <c r="F804" s="89">
        <v>1.0132</v>
      </c>
      <c r="G804" s="99">
        <v>0.521</v>
      </c>
      <c r="H804" s="98"/>
      <c r="I804" s="90">
        <f t="shared" si="1"/>
        <v>0.9447216891</v>
      </c>
      <c r="J804" s="81">
        <f t="shared" si="2"/>
        <v>0.5142123964</v>
      </c>
    </row>
    <row r="805">
      <c r="A805" s="88">
        <v>44690.0</v>
      </c>
      <c r="B805" s="89">
        <v>2030.0</v>
      </c>
      <c r="C805" s="89">
        <v>3.0</v>
      </c>
      <c r="D805" s="87" t="s">
        <v>204</v>
      </c>
      <c r="E805" s="89">
        <v>1.0</v>
      </c>
      <c r="F805" s="89">
        <v>0.2749</v>
      </c>
      <c r="G805" s="89">
        <v>0.1413</v>
      </c>
      <c r="H805" s="98"/>
      <c r="I805" s="90">
        <f t="shared" si="1"/>
        <v>0.9455060156</v>
      </c>
      <c r="J805" s="81">
        <f t="shared" si="2"/>
        <v>0.5140050928</v>
      </c>
    </row>
    <row r="806">
      <c r="A806" s="88">
        <v>44690.0</v>
      </c>
      <c r="B806" s="89">
        <v>2024.0</v>
      </c>
      <c r="C806" s="89">
        <v>1.0</v>
      </c>
      <c r="D806" s="87" t="s">
        <v>204</v>
      </c>
      <c r="E806" s="89">
        <v>1.0</v>
      </c>
      <c r="F806" s="89">
        <v>0.2943</v>
      </c>
      <c r="G806" s="89">
        <v>0.151</v>
      </c>
      <c r="H806" s="98"/>
      <c r="I806" s="90">
        <f t="shared" si="1"/>
        <v>0.9490066225</v>
      </c>
      <c r="J806" s="81">
        <f t="shared" si="2"/>
        <v>0.5130818892</v>
      </c>
    </row>
    <row r="807">
      <c r="A807" s="88">
        <v>44690.0</v>
      </c>
      <c r="B807" s="89">
        <v>2031.0</v>
      </c>
      <c r="C807" s="89">
        <v>1.0</v>
      </c>
      <c r="D807" s="87" t="s">
        <v>205</v>
      </c>
      <c r="E807" s="89">
        <v>0.0</v>
      </c>
      <c r="F807" s="89">
        <v>1.0939</v>
      </c>
      <c r="G807" s="89">
        <v>0.561</v>
      </c>
      <c r="H807" s="98"/>
      <c r="I807" s="90">
        <f t="shared" si="1"/>
        <v>0.9499108734</v>
      </c>
      <c r="J807" s="81">
        <f t="shared" si="2"/>
        <v>0.5128439528</v>
      </c>
    </row>
    <row r="808">
      <c r="A808" s="88">
        <v>44690.0</v>
      </c>
      <c r="B808" s="89">
        <v>2013.0</v>
      </c>
      <c r="C808" s="89">
        <v>3.0</v>
      </c>
      <c r="D808" s="87" t="s">
        <v>205</v>
      </c>
      <c r="E808" s="89">
        <v>0.0</v>
      </c>
      <c r="F808" s="89">
        <v>0.5062</v>
      </c>
      <c r="G808" s="89">
        <v>0.259</v>
      </c>
      <c r="H808" s="98"/>
      <c r="I808" s="90">
        <f t="shared" si="1"/>
        <v>0.9544401544</v>
      </c>
      <c r="J808" s="81">
        <f t="shared" si="2"/>
        <v>0.5116554721</v>
      </c>
    </row>
    <row r="809">
      <c r="A809" s="88">
        <v>44690.0</v>
      </c>
      <c r="B809" s="89">
        <v>2023.0</v>
      </c>
      <c r="C809" s="89">
        <v>1.0</v>
      </c>
      <c r="D809" s="87" t="s">
        <v>205</v>
      </c>
      <c r="E809" s="89">
        <v>0.0</v>
      </c>
      <c r="F809" s="89">
        <v>0.6646</v>
      </c>
      <c r="G809" s="89">
        <v>0.3394</v>
      </c>
      <c r="H809" s="98"/>
      <c r="I809" s="90">
        <f t="shared" si="1"/>
        <v>0.9581614614</v>
      </c>
      <c r="J809" s="81">
        <f t="shared" si="2"/>
        <v>0.5106831177</v>
      </c>
    </row>
    <row r="810">
      <c r="A810" s="88">
        <v>44690.0</v>
      </c>
      <c r="B810" s="89">
        <v>2026.0</v>
      </c>
      <c r="C810" s="89">
        <v>2.0</v>
      </c>
      <c r="D810" s="87" t="s">
        <v>205</v>
      </c>
      <c r="E810" s="89">
        <v>0.0</v>
      </c>
      <c r="F810" s="89">
        <v>1.7257</v>
      </c>
      <c r="G810" s="89">
        <v>0.88</v>
      </c>
      <c r="H810" s="98"/>
      <c r="I810" s="90">
        <f t="shared" si="1"/>
        <v>0.9610227273</v>
      </c>
      <c r="J810" s="81">
        <f t="shared" si="2"/>
        <v>0.5099379962</v>
      </c>
    </row>
    <row r="811">
      <c r="A811" s="88">
        <v>44690.0</v>
      </c>
      <c r="B811" s="89">
        <v>2026.0</v>
      </c>
      <c r="C811" s="89">
        <v>3.0</v>
      </c>
      <c r="D811" s="87" t="s">
        <v>205</v>
      </c>
      <c r="E811" s="89">
        <v>0.0</v>
      </c>
      <c r="F811" s="89">
        <v>0.9598</v>
      </c>
      <c r="G811" s="89">
        <v>0.4893</v>
      </c>
      <c r="H811" s="98"/>
      <c r="I811" s="90">
        <f t="shared" si="1"/>
        <v>0.9615777642</v>
      </c>
      <c r="J811" s="81">
        <f t="shared" si="2"/>
        <v>0.509793707</v>
      </c>
    </row>
    <row r="812">
      <c r="A812" s="88">
        <v>44690.0</v>
      </c>
      <c r="B812" s="89">
        <v>2028.0</v>
      </c>
      <c r="C812" s="89">
        <v>3.0</v>
      </c>
      <c r="D812" s="87" t="s">
        <v>204</v>
      </c>
      <c r="E812" s="89">
        <v>0.0</v>
      </c>
      <c r="F812" s="89">
        <v>0.1257</v>
      </c>
      <c r="G812" s="89">
        <v>0.064</v>
      </c>
      <c r="H812" s="98"/>
      <c r="I812" s="90">
        <f t="shared" si="1"/>
        <v>0.9640625</v>
      </c>
      <c r="J812" s="81">
        <f t="shared" si="2"/>
        <v>0.5091487669</v>
      </c>
    </row>
    <row r="813">
      <c r="A813" s="88">
        <v>44690.0</v>
      </c>
      <c r="B813" s="89">
        <v>2024.0</v>
      </c>
      <c r="C813" s="89">
        <v>2.0</v>
      </c>
      <c r="D813" s="87" t="s">
        <v>204</v>
      </c>
      <c r="E813" s="89">
        <v>1.0</v>
      </c>
      <c r="F813" s="89">
        <v>0.2805</v>
      </c>
      <c r="G813" s="89">
        <v>0.1425</v>
      </c>
      <c r="H813" s="98"/>
      <c r="I813" s="90">
        <f t="shared" si="1"/>
        <v>0.9684210526</v>
      </c>
      <c r="J813" s="81">
        <f t="shared" si="2"/>
        <v>0.5080213904</v>
      </c>
    </row>
    <row r="814">
      <c r="A814" s="88">
        <v>44690.0</v>
      </c>
      <c r="B814" s="89">
        <v>2022.0</v>
      </c>
      <c r="C814" s="89">
        <v>2.0</v>
      </c>
      <c r="D814" s="87" t="s">
        <v>205</v>
      </c>
      <c r="E814" s="89">
        <v>0.0</v>
      </c>
      <c r="F814" s="89">
        <v>2.2135</v>
      </c>
      <c r="G814" s="89">
        <v>1.124</v>
      </c>
      <c r="H814" s="98"/>
      <c r="I814" s="90">
        <f t="shared" si="1"/>
        <v>0.9693060498</v>
      </c>
      <c r="J814" s="81">
        <f t="shared" si="2"/>
        <v>0.5077930879</v>
      </c>
    </row>
    <row r="815">
      <c r="A815" s="88">
        <v>44690.0</v>
      </c>
      <c r="B815" s="89">
        <v>2031.0</v>
      </c>
      <c r="C815" s="89">
        <v>2.0</v>
      </c>
      <c r="D815" s="87" t="s">
        <v>205</v>
      </c>
      <c r="E815" s="89">
        <v>0.0</v>
      </c>
      <c r="F815" s="89">
        <v>2.2479</v>
      </c>
      <c r="G815" s="89">
        <v>1.14</v>
      </c>
      <c r="H815" s="98"/>
      <c r="I815" s="90">
        <f t="shared" si="1"/>
        <v>0.9718421053</v>
      </c>
      <c r="J815" s="81">
        <f t="shared" si="2"/>
        <v>0.5071399973</v>
      </c>
    </row>
    <row r="816">
      <c r="A816" s="88">
        <v>44690.0</v>
      </c>
      <c r="B816" s="89">
        <v>2007.0</v>
      </c>
      <c r="C816" s="89">
        <v>1.0</v>
      </c>
      <c r="D816" s="87" t="s">
        <v>204</v>
      </c>
      <c r="E816" s="89">
        <v>1.0</v>
      </c>
      <c r="F816" s="89">
        <v>0.1145</v>
      </c>
      <c r="G816" s="89">
        <v>0.058</v>
      </c>
      <c r="H816" s="98"/>
      <c r="I816" s="90">
        <f t="shared" si="1"/>
        <v>0.974137931</v>
      </c>
      <c r="J816" s="81">
        <f t="shared" si="2"/>
        <v>0.5065502183</v>
      </c>
    </row>
    <row r="817">
      <c r="A817" s="88">
        <v>44690.0</v>
      </c>
      <c r="B817" s="89">
        <v>2013.0</v>
      </c>
      <c r="C817" s="89">
        <v>2.0</v>
      </c>
      <c r="D817" s="87" t="s">
        <v>205</v>
      </c>
      <c r="E817" s="89">
        <v>0.0</v>
      </c>
      <c r="F817" s="89">
        <v>0.6339</v>
      </c>
      <c r="G817" s="89">
        <v>0.321</v>
      </c>
      <c r="H817" s="98"/>
      <c r="I817" s="90">
        <f t="shared" si="1"/>
        <v>0.9747663551</v>
      </c>
      <c r="J817" s="81">
        <f t="shared" si="2"/>
        <v>0.5063890204</v>
      </c>
    </row>
    <row r="818">
      <c r="A818" s="88">
        <v>44690.0</v>
      </c>
      <c r="B818" s="89">
        <v>2026.0</v>
      </c>
      <c r="C818" s="89">
        <v>2.0</v>
      </c>
      <c r="D818" s="87" t="s">
        <v>204</v>
      </c>
      <c r="E818" s="89">
        <v>1.0</v>
      </c>
      <c r="F818" s="89">
        <v>0.2192</v>
      </c>
      <c r="G818" s="89">
        <v>0.111</v>
      </c>
      <c r="H818" s="98"/>
      <c r="I818" s="90">
        <f t="shared" si="1"/>
        <v>0.9747747748</v>
      </c>
      <c r="J818" s="81">
        <f t="shared" si="2"/>
        <v>0.5063868613</v>
      </c>
    </row>
    <row r="819">
      <c r="A819" s="88">
        <v>44690.0</v>
      </c>
      <c r="B819" s="89">
        <v>2023.0</v>
      </c>
      <c r="C819" s="89">
        <v>1.0</v>
      </c>
      <c r="D819" s="87" t="s">
        <v>204</v>
      </c>
      <c r="E819" s="89">
        <v>1.0</v>
      </c>
      <c r="F819" s="89">
        <v>0.2053</v>
      </c>
      <c r="G819" s="89">
        <v>0.1038</v>
      </c>
      <c r="H819" s="98"/>
      <c r="I819" s="90">
        <f t="shared" si="1"/>
        <v>0.9778420039</v>
      </c>
      <c r="J819" s="81">
        <f t="shared" si="2"/>
        <v>0.5056015587</v>
      </c>
    </row>
    <row r="820">
      <c r="A820" s="88">
        <v>44690.0</v>
      </c>
      <c r="B820" s="89">
        <v>2026.0</v>
      </c>
      <c r="C820" s="89">
        <v>3.0</v>
      </c>
      <c r="D820" s="87" t="s">
        <v>204</v>
      </c>
      <c r="E820" s="89">
        <v>1.0</v>
      </c>
      <c r="F820" s="89">
        <v>0.0985</v>
      </c>
      <c r="G820" s="89">
        <v>0.0497</v>
      </c>
      <c r="H820" s="98"/>
      <c r="I820" s="90">
        <f t="shared" si="1"/>
        <v>0.9818913481</v>
      </c>
      <c r="J820" s="81">
        <f t="shared" si="2"/>
        <v>0.5045685279</v>
      </c>
    </row>
    <row r="821">
      <c r="A821" s="88">
        <v>44690.0</v>
      </c>
      <c r="B821" s="89">
        <v>2028.0</v>
      </c>
      <c r="C821" s="89">
        <v>1.0</v>
      </c>
      <c r="D821" s="87" t="s">
        <v>204</v>
      </c>
      <c r="E821" s="89">
        <v>1.0</v>
      </c>
      <c r="F821" s="89">
        <v>0.2458</v>
      </c>
      <c r="G821" s="89">
        <v>0.124</v>
      </c>
      <c r="H821" s="98"/>
      <c r="I821" s="90">
        <f t="shared" si="1"/>
        <v>0.9822580645</v>
      </c>
      <c r="J821" s="81">
        <f t="shared" si="2"/>
        <v>0.5044751831</v>
      </c>
    </row>
    <row r="822">
      <c r="A822" s="88">
        <v>44690.0</v>
      </c>
      <c r="B822" s="89">
        <v>2028.0</v>
      </c>
      <c r="C822" s="89">
        <v>2.0</v>
      </c>
      <c r="D822" s="87" t="s">
        <v>204</v>
      </c>
      <c r="E822" s="89">
        <v>0.0</v>
      </c>
      <c r="F822" s="89">
        <v>0.1254</v>
      </c>
      <c r="G822" s="89">
        <v>0.063</v>
      </c>
      <c r="H822" s="98"/>
      <c r="I822" s="90">
        <f t="shared" si="1"/>
        <v>0.9904761905</v>
      </c>
      <c r="J822" s="81">
        <f t="shared" si="2"/>
        <v>0.5023923445</v>
      </c>
    </row>
    <row r="823">
      <c r="A823" s="88">
        <v>44690.0</v>
      </c>
      <c r="B823" s="89">
        <v>2006.0</v>
      </c>
      <c r="C823" s="89">
        <v>3.0</v>
      </c>
      <c r="D823" s="87" t="s">
        <v>205</v>
      </c>
      <c r="E823" s="89">
        <v>0.0</v>
      </c>
      <c r="F823" s="89">
        <v>1.2379</v>
      </c>
      <c r="G823" s="89">
        <v>0.6205</v>
      </c>
      <c r="H823" s="98"/>
      <c r="I823" s="90">
        <f t="shared" si="1"/>
        <v>0.995004029</v>
      </c>
      <c r="J823" s="81">
        <f t="shared" si="2"/>
        <v>0.5012521205</v>
      </c>
    </row>
    <row r="824">
      <c r="A824" s="88">
        <v>44690.0</v>
      </c>
      <c r="B824" s="89">
        <v>2030.0</v>
      </c>
      <c r="C824" s="89">
        <v>1.0</v>
      </c>
      <c r="D824" s="87" t="s">
        <v>204</v>
      </c>
      <c r="E824" s="89">
        <v>0.0</v>
      </c>
      <c r="F824" s="89">
        <v>0.0938</v>
      </c>
      <c r="G824" s="89">
        <v>0.047</v>
      </c>
      <c r="H824" s="98"/>
      <c r="I824" s="90">
        <f t="shared" si="1"/>
        <v>0.9957446809</v>
      </c>
      <c r="J824" s="81">
        <f t="shared" si="2"/>
        <v>0.5010660981</v>
      </c>
    </row>
    <row r="825">
      <c r="A825" s="88">
        <v>44690.0</v>
      </c>
      <c r="B825" s="89">
        <v>2027.0</v>
      </c>
      <c r="C825" s="89">
        <v>1.0</v>
      </c>
      <c r="D825" s="87" t="s">
        <v>205</v>
      </c>
      <c r="E825" s="89">
        <v>0.0</v>
      </c>
      <c r="F825" s="89">
        <v>1.837</v>
      </c>
      <c r="G825" s="89">
        <v>0.92</v>
      </c>
      <c r="H825" s="98"/>
      <c r="I825" s="90">
        <f t="shared" si="1"/>
        <v>0.9967391304</v>
      </c>
      <c r="J825" s="81">
        <f t="shared" si="2"/>
        <v>0.5008165487</v>
      </c>
    </row>
    <row r="826">
      <c r="A826" s="88">
        <v>44690.0</v>
      </c>
      <c r="B826" s="89">
        <v>2013.0</v>
      </c>
      <c r="C826" s="89">
        <v>1.0</v>
      </c>
      <c r="D826" s="87" t="s">
        <v>205</v>
      </c>
      <c r="E826" s="89">
        <v>0.0</v>
      </c>
      <c r="F826" s="89">
        <v>0.3115</v>
      </c>
      <c r="G826" s="89">
        <v>0.156</v>
      </c>
      <c r="H826" s="98"/>
      <c r="I826" s="90">
        <f t="shared" si="1"/>
        <v>0.9967948718</v>
      </c>
      <c r="J826" s="81">
        <f t="shared" si="2"/>
        <v>0.5008025682</v>
      </c>
    </row>
    <row r="827">
      <c r="A827" s="88">
        <v>44690.0</v>
      </c>
      <c r="B827" s="89">
        <v>2023.0</v>
      </c>
      <c r="C827" s="89">
        <v>3.0</v>
      </c>
      <c r="D827" s="87" t="s">
        <v>205</v>
      </c>
      <c r="E827" s="89">
        <v>0.0</v>
      </c>
      <c r="F827" s="89">
        <v>1.9952</v>
      </c>
      <c r="G827" s="89">
        <v>0.9981</v>
      </c>
      <c r="H827" s="98"/>
      <c r="I827" s="90">
        <f t="shared" si="1"/>
        <v>0.9989980964</v>
      </c>
      <c r="J827" s="81">
        <f t="shared" si="2"/>
        <v>0.5002506014</v>
      </c>
    </row>
    <row r="828">
      <c r="A828" s="88">
        <v>44690.0</v>
      </c>
      <c r="B828" s="89">
        <v>2022.0</v>
      </c>
      <c r="C828" s="89">
        <v>2.0</v>
      </c>
      <c r="D828" s="87" t="s">
        <v>205</v>
      </c>
      <c r="E828" s="89">
        <v>1.0</v>
      </c>
      <c r="F828" s="89">
        <v>0.4823</v>
      </c>
      <c r="G828" s="89">
        <v>0.2412</v>
      </c>
      <c r="H828" s="98"/>
      <c r="I828" s="90">
        <f t="shared" si="1"/>
        <v>0.9995854063</v>
      </c>
      <c r="J828" s="81">
        <f t="shared" si="2"/>
        <v>0.5001036699</v>
      </c>
    </row>
    <row r="829">
      <c r="A829" s="88">
        <v>44690.0</v>
      </c>
      <c r="B829" s="89">
        <v>2020.0</v>
      </c>
      <c r="C829" s="89">
        <v>3.0</v>
      </c>
      <c r="D829" s="87" t="s">
        <v>204</v>
      </c>
      <c r="E829" s="89">
        <v>1.0</v>
      </c>
      <c r="F829" s="89">
        <v>0.258</v>
      </c>
      <c r="G829" s="89">
        <v>0.129</v>
      </c>
      <c r="H829" s="98"/>
      <c r="I829" s="90">
        <f t="shared" si="1"/>
        <v>1</v>
      </c>
      <c r="J829" s="81">
        <f t="shared" si="2"/>
        <v>0.5</v>
      </c>
    </row>
    <row r="830">
      <c r="A830" s="88">
        <v>44690.0</v>
      </c>
      <c r="B830" s="89">
        <v>2028.0</v>
      </c>
      <c r="C830" s="89">
        <v>3.0</v>
      </c>
      <c r="D830" s="87" t="s">
        <v>204</v>
      </c>
      <c r="E830" s="89">
        <v>0.0</v>
      </c>
      <c r="F830" s="89">
        <v>0.3473</v>
      </c>
      <c r="G830" s="89">
        <v>0.1736</v>
      </c>
      <c r="H830" s="98"/>
      <c r="I830" s="90">
        <f t="shared" si="1"/>
        <v>1.000576037</v>
      </c>
      <c r="J830" s="81">
        <f t="shared" si="2"/>
        <v>0.4998560322</v>
      </c>
    </row>
    <row r="831">
      <c r="A831" s="88">
        <v>44690.0</v>
      </c>
      <c r="B831" s="89">
        <v>2021.0</v>
      </c>
      <c r="C831" s="89">
        <v>3.0</v>
      </c>
      <c r="D831" s="87" t="s">
        <v>204</v>
      </c>
      <c r="E831" s="89">
        <v>1.0</v>
      </c>
      <c r="F831" s="89">
        <v>0.3273</v>
      </c>
      <c r="G831" s="89">
        <v>0.1633</v>
      </c>
      <c r="H831" s="98"/>
      <c r="I831" s="90">
        <f t="shared" si="1"/>
        <v>1.004286589</v>
      </c>
      <c r="J831" s="81">
        <f t="shared" si="2"/>
        <v>0.4989306447</v>
      </c>
    </row>
    <row r="832">
      <c r="A832" s="88">
        <v>44690.0</v>
      </c>
      <c r="B832" s="89">
        <v>2013.0</v>
      </c>
      <c r="C832" s="89">
        <v>1.0</v>
      </c>
      <c r="D832" s="87" t="s">
        <v>204</v>
      </c>
      <c r="E832" s="89">
        <v>1.0</v>
      </c>
      <c r="F832" s="89">
        <v>0.2467</v>
      </c>
      <c r="G832" s="89">
        <v>0.123</v>
      </c>
      <c r="H832" s="98"/>
      <c r="I832" s="90">
        <f t="shared" si="1"/>
        <v>1.005691057</v>
      </c>
      <c r="J832" s="81">
        <f t="shared" si="2"/>
        <v>0.4985812728</v>
      </c>
    </row>
    <row r="833">
      <c r="A833" s="88">
        <v>44690.0</v>
      </c>
      <c r="B833" s="89">
        <v>2024.0</v>
      </c>
      <c r="C833" s="89">
        <v>3.0</v>
      </c>
      <c r="D833" s="87" t="s">
        <v>204</v>
      </c>
      <c r="E833" s="89">
        <v>1.0</v>
      </c>
      <c r="F833" s="89">
        <v>0.1986</v>
      </c>
      <c r="G833" s="89">
        <v>0.099</v>
      </c>
      <c r="H833" s="98"/>
      <c r="I833" s="90">
        <f t="shared" si="1"/>
        <v>1.006060606</v>
      </c>
      <c r="J833" s="81">
        <f t="shared" si="2"/>
        <v>0.498489426</v>
      </c>
    </row>
    <row r="834">
      <c r="A834" s="88">
        <v>44690.0</v>
      </c>
      <c r="B834" s="89">
        <v>2092.0</v>
      </c>
      <c r="C834" s="89">
        <v>3.0</v>
      </c>
      <c r="D834" s="87" t="s">
        <v>205</v>
      </c>
      <c r="E834" s="89">
        <v>0.0</v>
      </c>
      <c r="F834" s="89">
        <v>0.4857</v>
      </c>
      <c r="G834" s="89">
        <v>0.242</v>
      </c>
      <c r="H834" s="98"/>
      <c r="I834" s="90">
        <f t="shared" si="1"/>
        <v>1.007024793</v>
      </c>
      <c r="J834" s="81">
        <f t="shared" si="2"/>
        <v>0.4982499485</v>
      </c>
    </row>
    <row r="835">
      <c r="A835" s="88">
        <v>44690.0</v>
      </c>
      <c r="B835" s="89">
        <v>2022.0</v>
      </c>
      <c r="C835" s="89">
        <v>3.0</v>
      </c>
      <c r="D835" s="87" t="s">
        <v>204</v>
      </c>
      <c r="E835" s="89">
        <v>1.0</v>
      </c>
      <c r="F835" s="89">
        <v>0.578</v>
      </c>
      <c r="G835" s="89">
        <v>0.2878</v>
      </c>
      <c r="H835" s="98"/>
      <c r="I835" s="90">
        <f t="shared" si="1"/>
        <v>1.008339124</v>
      </c>
      <c r="J835" s="81">
        <f t="shared" si="2"/>
        <v>0.4979238754</v>
      </c>
    </row>
    <row r="836">
      <c r="A836" s="88">
        <v>44690.0</v>
      </c>
      <c r="B836" s="89">
        <v>2006.0</v>
      </c>
      <c r="C836" s="89">
        <v>1.0</v>
      </c>
      <c r="D836" s="87" t="s">
        <v>205</v>
      </c>
      <c r="E836" s="89">
        <v>0.0</v>
      </c>
      <c r="F836" s="89">
        <v>0.7881</v>
      </c>
      <c r="G836" s="89">
        <v>0.3924</v>
      </c>
      <c r="H836" s="98"/>
      <c r="I836" s="90">
        <f t="shared" si="1"/>
        <v>1.008409786</v>
      </c>
      <c r="J836" s="81">
        <f t="shared" si="2"/>
        <v>0.4979063571</v>
      </c>
    </row>
    <row r="837">
      <c r="A837" s="88">
        <v>44690.0</v>
      </c>
      <c r="B837" s="89">
        <v>2021.0</v>
      </c>
      <c r="C837" s="89">
        <v>2.0</v>
      </c>
      <c r="D837" s="87" t="s">
        <v>205</v>
      </c>
      <c r="E837" s="89">
        <v>0.0</v>
      </c>
      <c r="F837" s="89">
        <v>0.9064</v>
      </c>
      <c r="G837" s="89">
        <v>0.4506</v>
      </c>
      <c r="H837" s="98"/>
      <c r="I837" s="90">
        <f t="shared" si="1"/>
        <v>1.011540169</v>
      </c>
      <c r="J837" s="81">
        <f t="shared" si="2"/>
        <v>0.4971315093</v>
      </c>
    </row>
    <row r="838">
      <c r="A838" s="88">
        <v>44690.0</v>
      </c>
      <c r="B838" s="89">
        <v>2021.0</v>
      </c>
      <c r="C838" s="89">
        <v>3.0</v>
      </c>
      <c r="D838" s="87" t="s">
        <v>205</v>
      </c>
      <c r="E838" s="89">
        <v>0.0</v>
      </c>
      <c r="F838" s="89">
        <v>0.9794</v>
      </c>
      <c r="G838" s="89">
        <v>0.4868</v>
      </c>
      <c r="H838" s="98"/>
      <c r="I838" s="90">
        <f t="shared" si="1"/>
        <v>1.011914544</v>
      </c>
      <c r="J838" s="81">
        <f t="shared" si="2"/>
        <v>0.4970390035</v>
      </c>
    </row>
    <row r="839">
      <c r="A839" s="88">
        <v>44690.0</v>
      </c>
      <c r="B839" s="89">
        <v>2007.0</v>
      </c>
      <c r="C839" s="89">
        <v>3.0</v>
      </c>
      <c r="D839" s="87" t="s">
        <v>204</v>
      </c>
      <c r="E839" s="89">
        <v>0.0</v>
      </c>
      <c r="F839" s="89">
        <v>0.218</v>
      </c>
      <c r="G839" s="89">
        <v>0.108</v>
      </c>
      <c r="H839" s="98"/>
      <c r="I839" s="90">
        <f t="shared" si="1"/>
        <v>1.018518519</v>
      </c>
      <c r="J839" s="81">
        <f t="shared" si="2"/>
        <v>0.495412844</v>
      </c>
    </row>
    <row r="840">
      <c r="A840" s="88">
        <v>44690.0</v>
      </c>
      <c r="B840" s="89">
        <v>2091.0</v>
      </c>
      <c r="C840" s="89">
        <v>1.0</v>
      </c>
      <c r="D840" s="87" t="s">
        <v>205</v>
      </c>
      <c r="E840" s="89">
        <v>0.0</v>
      </c>
      <c r="F840" s="89">
        <v>1.2878</v>
      </c>
      <c r="G840" s="89">
        <v>0.637</v>
      </c>
      <c r="H840" s="98"/>
      <c r="I840" s="90">
        <f t="shared" si="1"/>
        <v>1.02166405</v>
      </c>
      <c r="J840" s="81">
        <f t="shared" si="2"/>
        <v>0.4946420252</v>
      </c>
    </row>
    <row r="841">
      <c r="A841" s="88">
        <v>44690.0</v>
      </c>
      <c r="B841" s="89">
        <v>2028.0</v>
      </c>
      <c r="C841" s="89">
        <v>2.0</v>
      </c>
      <c r="D841" s="87" t="s">
        <v>205</v>
      </c>
      <c r="E841" s="89">
        <v>0.0</v>
      </c>
      <c r="F841" s="89">
        <v>1.3616</v>
      </c>
      <c r="G841" s="89">
        <v>0.6734</v>
      </c>
      <c r="H841" s="98"/>
      <c r="I841" s="90">
        <f t="shared" si="1"/>
        <v>1.021978022</v>
      </c>
      <c r="J841" s="81">
        <f t="shared" si="2"/>
        <v>0.4945652174</v>
      </c>
    </row>
    <row r="842">
      <c r="A842" s="88">
        <v>44690.0</v>
      </c>
      <c r="B842" s="89">
        <v>2028.0</v>
      </c>
      <c r="C842" s="89">
        <v>2.0</v>
      </c>
      <c r="D842" s="87" t="s">
        <v>204</v>
      </c>
      <c r="E842" s="89">
        <v>1.0</v>
      </c>
      <c r="F842" s="89">
        <v>0.2577</v>
      </c>
      <c r="G842" s="89">
        <v>0.127</v>
      </c>
      <c r="H842" s="98"/>
      <c r="I842" s="90">
        <f t="shared" si="1"/>
        <v>1.029133858</v>
      </c>
      <c r="J842" s="81">
        <f t="shared" si="2"/>
        <v>0.4928211098</v>
      </c>
    </row>
    <row r="843">
      <c r="A843" s="88">
        <v>44690.0</v>
      </c>
      <c r="B843" s="89">
        <v>2091.0</v>
      </c>
      <c r="C843" s="89">
        <v>1.0</v>
      </c>
      <c r="D843" s="87" t="s">
        <v>204</v>
      </c>
      <c r="E843" s="89">
        <v>1.0</v>
      </c>
      <c r="F843" s="89">
        <v>0.6295</v>
      </c>
      <c r="G843" s="89">
        <v>0.31</v>
      </c>
      <c r="H843" s="98"/>
      <c r="I843" s="90">
        <f t="shared" si="1"/>
        <v>1.030645161</v>
      </c>
      <c r="J843" s="81">
        <f t="shared" si="2"/>
        <v>0.4924543288</v>
      </c>
    </row>
    <row r="844">
      <c r="A844" s="88">
        <v>44690.0</v>
      </c>
      <c r="B844" s="89">
        <v>2093.0</v>
      </c>
      <c r="C844" s="89">
        <v>3.0</v>
      </c>
      <c r="D844" s="87" t="s">
        <v>204</v>
      </c>
      <c r="E844" s="89">
        <v>1.0</v>
      </c>
      <c r="F844" s="89">
        <v>0.4259</v>
      </c>
      <c r="G844" s="89">
        <v>0.2092</v>
      </c>
      <c r="H844" s="98"/>
      <c r="I844" s="90">
        <f t="shared" si="1"/>
        <v>1.03585086</v>
      </c>
      <c r="J844" s="81">
        <f t="shared" si="2"/>
        <v>0.4911951162</v>
      </c>
    </row>
    <row r="845">
      <c r="A845" s="88">
        <v>44690.0</v>
      </c>
      <c r="B845" s="89">
        <v>2021.0</v>
      </c>
      <c r="C845" s="89">
        <v>1.0</v>
      </c>
      <c r="D845" s="87" t="s">
        <v>204</v>
      </c>
      <c r="E845" s="89">
        <v>1.0</v>
      </c>
      <c r="F845" s="89">
        <v>0.2816</v>
      </c>
      <c r="G845" s="89">
        <v>0.1377</v>
      </c>
      <c r="H845" s="98"/>
      <c r="I845" s="90">
        <f t="shared" si="1"/>
        <v>1.045025418</v>
      </c>
      <c r="J845" s="81">
        <f t="shared" si="2"/>
        <v>0.4889914773</v>
      </c>
    </row>
    <row r="846">
      <c r="A846" s="88">
        <v>44690.0</v>
      </c>
      <c r="B846" s="89">
        <v>2027.0</v>
      </c>
      <c r="C846" s="89">
        <v>1.0</v>
      </c>
      <c r="D846" s="87" t="s">
        <v>204</v>
      </c>
      <c r="E846" s="89">
        <v>1.0</v>
      </c>
      <c r="F846" s="89">
        <v>0.4326</v>
      </c>
      <c r="G846" s="89">
        <v>0.2115</v>
      </c>
      <c r="H846" s="98"/>
      <c r="I846" s="90">
        <f t="shared" si="1"/>
        <v>1.045390071</v>
      </c>
      <c r="J846" s="81">
        <f t="shared" si="2"/>
        <v>0.4889042996</v>
      </c>
    </row>
    <row r="847">
      <c r="A847" s="88">
        <v>44690.0</v>
      </c>
      <c r="B847" s="89">
        <v>2025.0</v>
      </c>
      <c r="C847" s="89">
        <v>3.0</v>
      </c>
      <c r="D847" s="87" t="s">
        <v>205</v>
      </c>
      <c r="E847" s="89">
        <v>0.0</v>
      </c>
      <c r="F847" s="89">
        <v>1.4186</v>
      </c>
      <c r="G847" s="89">
        <v>0.6935</v>
      </c>
      <c r="H847" s="98"/>
      <c r="I847" s="90">
        <f t="shared" si="1"/>
        <v>1.04556597</v>
      </c>
      <c r="J847" s="81">
        <f t="shared" si="2"/>
        <v>0.4888622586</v>
      </c>
    </row>
    <row r="848">
      <c r="A848" s="88">
        <v>44690.0</v>
      </c>
      <c r="B848" s="89">
        <v>2091.0</v>
      </c>
      <c r="C848" s="89">
        <v>3.0</v>
      </c>
      <c r="D848" s="87" t="s">
        <v>205</v>
      </c>
      <c r="E848" s="89">
        <v>0.0</v>
      </c>
      <c r="F848" s="89">
        <v>1.5016</v>
      </c>
      <c r="G848" s="89">
        <v>0.734</v>
      </c>
      <c r="H848" s="98"/>
      <c r="I848" s="90">
        <f t="shared" si="1"/>
        <v>1.045776567</v>
      </c>
      <c r="J848" s="81">
        <f t="shared" si="2"/>
        <v>0.4888119339</v>
      </c>
    </row>
    <row r="849">
      <c r="A849" s="88">
        <v>44690.0</v>
      </c>
      <c r="B849" s="89">
        <v>2025.0</v>
      </c>
      <c r="C849" s="89">
        <v>2.0</v>
      </c>
      <c r="D849" s="87" t="s">
        <v>204</v>
      </c>
      <c r="E849" s="89">
        <v>1.0</v>
      </c>
      <c r="F849" s="89">
        <v>0.34</v>
      </c>
      <c r="G849" s="89">
        <v>0.166</v>
      </c>
      <c r="H849" s="98"/>
      <c r="I849" s="90">
        <f t="shared" si="1"/>
        <v>1.048192771</v>
      </c>
      <c r="J849" s="81">
        <f t="shared" si="2"/>
        <v>0.4882352941</v>
      </c>
    </row>
    <row r="850">
      <c r="A850" s="88">
        <v>44690.0</v>
      </c>
      <c r="B850" s="89">
        <v>2027.0</v>
      </c>
      <c r="C850" s="89">
        <v>2.0</v>
      </c>
      <c r="D850" s="87" t="s">
        <v>205</v>
      </c>
      <c r="E850" s="89">
        <v>0.0</v>
      </c>
      <c r="F850" s="89">
        <v>2.513</v>
      </c>
      <c r="G850" s="89">
        <v>1.2261</v>
      </c>
      <c r="H850" s="98"/>
      <c r="I850" s="90">
        <f t="shared" si="1"/>
        <v>1.049588125</v>
      </c>
      <c r="J850" s="81">
        <f t="shared" si="2"/>
        <v>0.4879029049</v>
      </c>
    </row>
    <row r="851">
      <c r="A851" s="88">
        <v>44690.0</v>
      </c>
      <c r="B851" s="89">
        <v>2006.0</v>
      </c>
      <c r="C851" s="89">
        <v>3.0</v>
      </c>
      <c r="D851" s="87" t="s">
        <v>204</v>
      </c>
      <c r="E851" s="89">
        <v>1.0</v>
      </c>
      <c r="F851" s="89">
        <v>0.3008</v>
      </c>
      <c r="G851" s="89">
        <v>0.1466</v>
      </c>
      <c r="H851" s="98"/>
      <c r="I851" s="90">
        <f t="shared" si="1"/>
        <v>1.051841746</v>
      </c>
      <c r="J851" s="81">
        <f t="shared" si="2"/>
        <v>0.4873670213</v>
      </c>
    </row>
    <row r="852">
      <c r="A852" s="88">
        <v>44690.0</v>
      </c>
      <c r="B852" s="89">
        <v>2024.0</v>
      </c>
      <c r="C852" s="89">
        <v>3.0</v>
      </c>
      <c r="D852" s="87" t="s">
        <v>205</v>
      </c>
      <c r="E852" s="89">
        <v>0.0</v>
      </c>
      <c r="F852" s="89">
        <v>1.8329</v>
      </c>
      <c r="G852" s="89">
        <v>0.8913</v>
      </c>
      <c r="H852" s="98"/>
      <c r="I852" s="90">
        <f t="shared" si="1"/>
        <v>1.056434422</v>
      </c>
      <c r="J852" s="81">
        <f t="shared" si="2"/>
        <v>0.4862785749</v>
      </c>
    </row>
    <row r="853">
      <c r="A853" s="88">
        <v>44690.0</v>
      </c>
      <c r="B853" s="89">
        <v>2021.0</v>
      </c>
      <c r="C853" s="89">
        <v>2.0</v>
      </c>
      <c r="D853" s="87" t="s">
        <v>204</v>
      </c>
      <c r="E853" s="89">
        <v>1.0</v>
      </c>
      <c r="F853" s="89">
        <v>0.3411</v>
      </c>
      <c r="G853" s="89">
        <v>0.1657</v>
      </c>
      <c r="H853" s="98"/>
      <c r="I853" s="90">
        <f t="shared" si="1"/>
        <v>1.058539529</v>
      </c>
      <c r="J853" s="81">
        <f t="shared" si="2"/>
        <v>0.4857812958</v>
      </c>
    </row>
    <row r="854">
      <c r="A854" s="88">
        <v>44690.0</v>
      </c>
      <c r="B854" s="89">
        <v>2025.0</v>
      </c>
      <c r="C854" s="89">
        <v>1.0</v>
      </c>
      <c r="D854" s="87" t="s">
        <v>204</v>
      </c>
      <c r="E854" s="89">
        <v>1.0</v>
      </c>
      <c r="F854" s="89">
        <v>0.3129</v>
      </c>
      <c r="G854" s="89">
        <v>0.152</v>
      </c>
      <c r="H854" s="98"/>
      <c r="I854" s="90">
        <f t="shared" si="1"/>
        <v>1.058552632</v>
      </c>
      <c r="J854" s="81">
        <f t="shared" si="2"/>
        <v>0.4857782039</v>
      </c>
    </row>
    <row r="855">
      <c r="A855" s="88">
        <v>44690.0</v>
      </c>
      <c r="B855" s="89">
        <v>2015.0</v>
      </c>
      <c r="C855" s="89">
        <v>2.0</v>
      </c>
      <c r="D855" s="87" t="s">
        <v>205</v>
      </c>
      <c r="E855" s="89">
        <v>0.0</v>
      </c>
      <c r="F855" s="99">
        <v>0.703</v>
      </c>
      <c r="G855" s="89">
        <v>0.3415</v>
      </c>
      <c r="H855" s="98"/>
      <c r="I855" s="90">
        <f t="shared" si="1"/>
        <v>1.058565154</v>
      </c>
      <c r="J855" s="81">
        <f t="shared" si="2"/>
        <v>0.4857752489</v>
      </c>
    </row>
    <row r="856">
      <c r="A856" s="88">
        <v>44690.0</v>
      </c>
      <c r="B856" s="89">
        <v>2093.0</v>
      </c>
      <c r="C856" s="89">
        <v>2.0</v>
      </c>
      <c r="D856" s="87" t="s">
        <v>204</v>
      </c>
      <c r="E856" s="89">
        <v>1.0</v>
      </c>
      <c r="F856" s="89">
        <v>0.4622</v>
      </c>
      <c r="G856" s="89">
        <v>0.2245</v>
      </c>
      <c r="H856" s="98"/>
      <c r="I856" s="90">
        <f t="shared" si="1"/>
        <v>1.058797327</v>
      </c>
      <c r="J856" s="81">
        <f t="shared" si="2"/>
        <v>0.4857204673</v>
      </c>
    </row>
    <row r="857">
      <c r="A857" s="88">
        <v>44690.0</v>
      </c>
      <c r="B857" s="89">
        <v>2024.0</v>
      </c>
      <c r="C857" s="89">
        <v>2.0</v>
      </c>
      <c r="D857" s="87" t="s">
        <v>205</v>
      </c>
      <c r="E857" s="89">
        <v>0.0</v>
      </c>
      <c r="F857" s="89">
        <v>1.1178</v>
      </c>
      <c r="G857" s="89">
        <v>0.5429</v>
      </c>
      <c r="H857" s="98"/>
      <c r="I857" s="90">
        <f t="shared" si="1"/>
        <v>1.058942715</v>
      </c>
      <c r="J857" s="81">
        <f t="shared" si="2"/>
        <v>0.4856861693</v>
      </c>
    </row>
    <row r="858">
      <c r="A858" s="88">
        <v>44690.0</v>
      </c>
      <c r="B858" s="89">
        <v>2086.0</v>
      </c>
      <c r="C858" s="89">
        <v>3.0</v>
      </c>
      <c r="D858" s="87" t="s">
        <v>205</v>
      </c>
      <c r="E858" s="89">
        <v>0.0</v>
      </c>
      <c r="F858" s="89">
        <v>1.4232</v>
      </c>
      <c r="G858" s="99">
        <v>0.691</v>
      </c>
      <c r="H858" s="98"/>
      <c r="I858" s="90">
        <f t="shared" si="1"/>
        <v>1.059623734</v>
      </c>
      <c r="J858" s="81">
        <f t="shared" si="2"/>
        <v>0.4855255762</v>
      </c>
    </row>
    <row r="859">
      <c r="A859" s="88">
        <v>44690.0</v>
      </c>
      <c r="B859" s="89">
        <v>2090.0</v>
      </c>
      <c r="C859" s="89">
        <v>2.0</v>
      </c>
      <c r="D859" s="87" t="s">
        <v>204</v>
      </c>
      <c r="E859" s="89">
        <v>1.0</v>
      </c>
      <c r="F859" s="89">
        <v>0.1294</v>
      </c>
      <c r="G859" s="89">
        <v>0.0628</v>
      </c>
      <c r="H859" s="98"/>
      <c r="I859" s="90">
        <f t="shared" si="1"/>
        <v>1.060509554</v>
      </c>
      <c r="J859" s="81">
        <f t="shared" si="2"/>
        <v>0.485316847</v>
      </c>
    </row>
    <row r="860">
      <c r="A860" s="88">
        <v>44690.0</v>
      </c>
      <c r="B860" s="89">
        <v>2020.0</v>
      </c>
      <c r="C860" s="89">
        <v>1.0</v>
      </c>
      <c r="D860" s="87" t="s">
        <v>204</v>
      </c>
      <c r="E860" s="89">
        <v>1.0</v>
      </c>
      <c r="F860" s="89">
        <v>0.3094</v>
      </c>
      <c r="G860" s="89">
        <v>0.15</v>
      </c>
      <c r="H860" s="98"/>
      <c r="I860" s="90">
        <f t="shared" si="1"/>
        <v>1.062666667</v>
      </c>
      <c r="J860" s="81">
        <f t="shared" si="2"/>
        <v>0.4848093083</v>
      </c>
    </row>
    <row r="861">
      <c r="A861" s="88">
        <v>44690.0</v>
      </c>
      <c r="B861" s="89">
        <v>2029.0</v>
      </c>
      <c r="C861" s="89">
        <v>3.0</v>
      </c>
      <c r="D861" s="87" t="s">
        <v>204</v>
      </c>
      <c r="E861" s="89">
        <v>0.0</v>
      </c>
      <c r="F861" s="89">
        <v>0.1116</v>
      </c>
      <c r="G861" s="99">
        <v>0.054</v>
      </c>
      <c r="H861" s="98"/>
      <c r="I861" s="90">
        <f t="shared" si="1"/>
        <v>1.066666667</v>
      </c>
      <c r="J861" s="81">
        <f t="shared" si="2"/>
        <v>0.4838709677</v>
      </c>
    </row>
    <row r="862">
      <c r="A862" s="88">
        <v>44690.0</v>
      </c>
      <c r="B862" s="89">
        <v>2025.0</v>
      </c>
      <c r="C862" s="89">
        <v>2.0</v>
      </c>
      <c r="D862" s="87" t="s">
        <v>205</v>
      </c>
      <c r="E862" s="89">
        <v>0.0</v>
      </c>
      <c r="F862" s="89">
        <v>1.2847</v>
      </c>
      <c r="G862" s="89">
        <v>0.6212</v>
      </c>
      <c r="H862" s="98"/>
      <c r="I862" s="90">
        <f t="shared" si="1"/>
        <v>1.068094012</v>
      </c>
      <c r="J862" s="81">
        <f t="shared" si="2"/>
        <v>0.4835370125</v>
      </c>
    </row>
    <row r="863">
      <c r="A863" s="88">
        <v>44690.0</v>
      </c>
      <c r="B863" s="89">
        <v>2027.0</v>
      </c>
      <c r="C863" s="89">
        <v>3.0</v>
      </c>
      <c r="D863" s="87" t="s">
        <v>205</v>
      </c>
      <c r="E863" s="89">
        <v>0.0</v>
      </c>
      <c r="F863" s="89">
        <v>2.363</v>
      </c>
      <c r="G863" s="89">
        <v>1.1424</v>
      </c>
      <c r="H863" s="98"/>
      <c r="I863" s="90">
        <f t="shared" si="1"/>
        <v>1.068452381</v>
      </c>
      <c r="J863" s="81">
        <f t="shared" si="2"/>
        <v>0.4834532374</v>
      </c>
    </row>
    <row r="864">
      <c r="A864" s="88">
        <v>44690.0</v>
      </c>
      <c r="B864" s="89">
        <v>2006.0</v>
      </c>
      <c r="C864" s="89">
        <v>2.0</v>
      </c>
      <c r="D864" s="87" t="s">
        <v>205</v>
      </c>
      <c r="E864" s="89">
        <v>0.0</v>
      </c>
      <c r="F864" s="89">
        <v>1.2377</v>
      </c>
      <c r="G864" s="89">
        <v>0.5983</v>
      </c>
      <c r="H864" s="98"/>
      <c r="I864" s="90">
        <f t="shared" si="1"/>
        <v>1.068694635</v>
      </c>
      <c r="J864" s="81">
        <f t="shared" si="2"/>
        <v>0.4833966228</v>
      </c>
    </row>
    <row r="865">
      <c r="A865" s="88">
        <v>44690.0</v>
      </c>
      <c r="B865" s="89">
        <v>2007.0</v>
      </c>
      <c r="C865" s="89">
        <v>2.0</v>
      </c>
      <c r="D865" s="87" t="s">
        <v>204</v>
      </c>
      <c r="E865" s="89">
        <v>0.0</v>
      </c>
      <c r="F865" s="89">
        <v>0.145</v>
      </c>
      <c r="G865" s="89">
        <v>0.07</v>
      </c>
      <c r="H865" s="98"/>
      <c r="I865" s="90">
        <f t="shared" si="1"/>
        <v>1.071428571</v>
      </c>
      <c r="J865" s="81">
        <f t="shared" si="2"/>
        <v>0.4827586207</v>
      </c>
    </row>
    <row r="866">
      <c r="A866" s="88">
        <v>44690.0</v>
      </c>
      <c r="B866" s="89">
        <v>2031.0</v>
      </c>
      <c r="C866" s="89">
        <v>1.0</v>
      </c>
      <c r="D866" s="87" t="s">
        <v>204</v>
      </c>
      <c r="E866" s="89">
        <v>1.0</v>
      </c>
      <c r="F866" s="89">
        <v>0.1534</v>
      </c>
      <c r="G866" s="89">
        <v>0.074</v>
      </c>
      <c r="H866" s="98"/>
      <c r="I866" s="90">
        <f t="shared" si="1"/>
        <v>1.072972973</v>
      </c>
      <c r="J866" s="81">
        <f t="shared" si="2"/>
        <v>0.482398957</v>
      </c>
    </row>
    <row r="867">
      <c r="A867" s="88">
        <v>44690.0</v>
      </c>
      <c r="B867" s="89">
        <v>2022.0</v>
      </c>
      <c r="C867" s="89">
        <v>1.0</v>
      </c>
      <c r="D867" s="87" t="s">
        <v>204</v>
      </c>
      <c r="E867" s="89">
        <v>0.0</v>
      </c>
      <c r="F867" s="89">
        <v>0.0748</v>
      </c>
      <c r="G867" s="89">
        <v>0.0359</v>
      </c>
      <c r="H867" s="98"/>
      <c r="I867" s="90">
        <f t="shared" si="1"/>
        <v>1.08356546</v>
      </c>
      <c r="J867" s="81">
        <f t="shared" si="2"/>
        <v>0.4799465241</v>
      </c>
    </row>
    <row r="868">
      <c r="A868" s="88">
        <v>44690.0</v>
      </c>
      <c r="B868" s="89">
        <v>1475.0</v>
      </c>
      <c r="C868" s="89">
        <v>2.0</v>
      </c>
      <c r="D868" s="87" t="s">
        <v>205</v>
      </c>
      <c r="E868" s="89">
        <v>0.0</v>
      </c>
      <c r="F868" s="89">
        <v>0.602</v>
      </c>
      <c r="G868" s="89">
        <v>0.2885</v>
      </c>
      <c r="H868" s="98"/>
      <c r="I868" s="90">
        <f t="shared" si="1"/>
        <v>1.086655113</v>
      </c>
      <c r="J868" s="81">
        <f t="shared" si="2"/>
        <v>0.4792358804</v>
      </c>
    </row>
    <row r="869">
      <c r="A869" s="88">
        <v>44690.0</v>
      </c>
      <c r="B869" s="89">
        <v>2015.0</v>
      </c>
      <c r="C869" s="89">
        <v>1.0</v>
      </c>
      <c r="D869" s="87" t="s">
        <v>204</v>
      </c>
      <c r="E869" s="89">
        <v>0.0</v>
      </c>
      <c r="F869" s="89">
        <v>0.048</v>
      </c>
      <c r="G869" s="89">
        <v>0.023</v>
      </c>
      <c r="H869" s="98"/>
      <c r="I869" s="90">
        <f t="shared" si="1"/>
        <v>1.086956522</v>
      </c>
      <c r="J869" s="81">
        <f t="shared" si="2"/>
        <v>0.4791666667</v>
      </c>
    </row>
    <row r="870">
      <c r="A870" s="88">
        <v>44690.0</v>
      </c>
      <c r="B870" s="89">
        <v>2088.0</v>
      </c>
      <c r="C870" s="89">
        <v>1.0</v>
      </c>
      <c r="D870" s="87" t="s">
        <v>205</v>
      </c>
      <c r="E870" s="89">
        <v>1.0</v>
      </c>
      <c r="F870" s="89">
        <v>0.7021</v>
      </c>
      <c r="G870" s="99">
        <v>0.336</v>
      </c>
      <c r="H870" s="98"/>
      <c r="I870" s="90">
        <f t="shared" si="1"/>
        <v>1.089583333</v>
      </c>
      <c r="J870" s="81">
        <f t="shared" si="2"/>
        <v>0.4785643071</v>
      </c>
    </row>
    <row r="871">
      <c r="A871" s="88">
        <v>44690.0</v>
      </c>
      <c r="B871" s="89">
        <v>2004.0</v>
      </c>
      <c r="C871" s="89">
        <v>2.0</v>
      </c>
      <c r="D871" s="87" t="s">
        <v>205</v>
      </c>
      <c r="E871" s="89">
        <v>0.0</v>
      </c>
      <c r="F871" s="89">
        <v>0.4823</v>
      </c>
      <c r="G871" s="89">
        <v>0.2307</v>
      </c>
      <c r="H871" s="98"/>
      <c r="I871" s="90">
        <f t="shared" si="1"/>
        <v>1.090593845</v>
      </c>
      <c r="J871" s="81">
        <f t="shared" si="2"/>
        <v>0.4783329878</v>
      </c>
    </row>
    <row r="872">
      <c r="A872" s="88">
        <v>44690.0</v>
      </c>
      <c r="B872" s="89">
        <v>2093.0</v>
      </c>
      <c r="C872" s="89">
        <v>3.0</v>
      </c>
      <c r="D872" s="87" t="s">
        <v>205</v>
      </c>
      <c r="E872" s="89">
        <v>0.0</v>
      </c>
      <c r="F872" s="89">
        <v>1.9718</v>
      </c>
      <c r="G872" s="89">
        <v>0.9419</v>
      </c>
      <c r="H872" s="98"/>
      <c r="I872" s="90">
        <f t="shared" si="1"/>
        <v>1.093428177</v>
      </c>
      <c r="J872" s="81">
        <f t="shared" si="2"/>
        <v>0.4776853636</v>
      </c>
    </row>
    <row r="873">
      <c r="A873" s="88">
        <v>44690.0</v>
      </c>
      <c r="B873" s="89">
        <v>2004.0</v>
      </c>
      <c r="C873" s="89">
        <v>1.0</v>
      </c>
      <c r="D873" s="87" t="s">
        <v>205</v>
      </c>
      <c r="E873" s="89">
        <v>0.0</v>
      </c>
      <c r="F873" s="89">
        <v>0.6243</v>
      </c>
      <c r="G873" s="89">
        <v>0.2982</v>
      </c>
      <c r="H873" s="98"/>
      <c r="I873" s="90">
        <f t="shared" si="1"/>
        <v>1.093561368</v>
      </c>
      <c r="J873" s="81">
        <f t="shared" si="2"/>
        <v>0.4776549736</v>
      </c>
    </row>
    <row r="874">
      <c r="A874" s="88">
        <v>44690.0</v>
      </c>
      <c r="B874" s="89">
        <v>2022.0</v>
      </c>
      <c r="C874" s="89">
        <v>2.0</v>
      </c>
      <c r="D874" s="87" t="s">
        <v>204</v>
      </c>
      <c r="E874" s="89">
        <v>1.0</v>
      </c>
      <c r="F874" s="89">
        <v>0.1292</v>
      </c>
      <c r="G874" s="89">
        <v>0.0616</v>
      </c>
      <c r="H874" s="98"/>
      <c r="I874" s="90">
        <f t="shared" si="1"/>
        <v>1.097402597</v>
      </c>
      <c r="J874" s="81">
        <f t="shared" si="2"/>
        <v>0.4767801858</v>
      </c>
    </row>
    <row r="875">
      <c r="A875" s="88">
        <v>44690.0</v>
      </c>
      <c r="B875" s="89">
        <v>2093.0</v>
      </c>
      <c r="C875" s="89">
        <v>1.0</v>
      </c>
      <c r="D875" s="87" t="s">
        <v>204</v>
      </c>
      <c r="E875" s="89">
        <v>1.0</v>
      </c>
      <c r="F875" s="89">
        <v>0.4302</v>
      </c>
      <c r="G875" s="89">
        <v>0.2049</v>
      </c>
      <c r="H875" s="98"/>
      <c r="I875" s="90">
        <f t="shared" si="1"/>
        <v>1.099560761</v>
      </c>
      <c r="J875" s="81">
        <f t="shared" si="2"/>
        <v>0.4762900976</v>
      </c>
    </row>
    <row r="876">
      <c r="A876" s="88">
        <v>44690.0</v>
      </c>
      <c r="B876" s="89">
        <v>2031.0</v>
      </c>
      <c r="C876" s="89">
        <v>1.0</v>
      </c>
      <c r="D876" s="87" t="s">
        <v>204</v>
      </c>
      <c r="E876" s="89">
        <v>0.0</v>
      </c>
      <c r="F876" s="89">
        <v>0.0399</v>
      </c>
      <c r="G876" s="89">
        <v>0.019</v>
      </c>
      <c r="H876" s="98"/>
      <c r="I876" s="90">
        <f t="shared" si="1"/>
        <v>1.1</v>
      </c>
      <c r="J876" s="81">
        <f t="shared" si="2"/>
        <v>0.4761904762</v>
      </c>
    </row>
    <row r="877">
      <c r="A877" s="88">
        <v>44690.0</v>
      </c>
      <c r="B877" s="89">
        <v>2027.0</v>
      </c>
      <c r="C877" s="89">
        <v>3.0</v>
      </c>
      <c r="D877" s="87" t="s">
        <v>204</v>
      </c>
      <c r="E877" s="89">
        <v>1.0</v>
      </c>
      <c r="F877" s="89">
        <v>0.2923</v>
      </c>
      <c r="G877" s="89">
        <v>0.1389</v>
      </c>
      <c r="H877" s="98"/>
      <c r="I877" s="90">
        <f t="shared" si="1"/>
        <v>1.104391649</v>
      </c>
      <c r="J877" s="81">
        <f t="shared" si="2"/>
        <v>0.4751967157</v>
      </c>
    </row>
    <row r="878">
      <c r="A878" s="88">
        <v>44690.0</v>
      </c>
      <c r="B878" s="89">
        <v>2090.0</v>
      </c>
      <c r="C878" s="89">
        <v>3.0</v>
      </c>
      <c r="D878" s="87" t="s">
        <v>204</v>
      </c>
      <c r="E878" s="89">
        <v>1.0</v>
      </c>
      <c r="F878" s="89">
        <v>0.1189</v>
      </c>
      <c r="G878" s="89">
        <v>0.0564</v>
      </c>
      <c r="H878" s="98"/>
      <c r="I878" s="90">
        <f t="shared" si="1"/>
        <v>1.108156028</v>
      </c>
      <c r="J878" s="81">
        <f t="shared" si="2"/>
        <v>0.4743481918</v>
      </c>
    </row>
    <row r="879">
      <c r="A879" s="88">
        <v>44690.0</v>
      </c>
      <c r="B879" s="89">
        <v>2012.0</v>
      </c>
      <c r="C879" s="89">
        <v>2.0</v>
      </c>
      <c r="D879" s="87" t="s">
        <v>205</v>
      </c>
      <c r="E879" s="89">
        <v>0.0</v>
      </c>
      <c r="F879" s="89">
        <v>0.6069</v>
      </c>
      <c r="G879" s="89">
        <v>0.2878</v>
      </c>
      <c r="H879" s="98"/>
      <c r="I879" s="90">
        <f t="shared" si="1"/>
        <v>1.108756081</v>
      </c>
      <c r="J879" s="81">
        <f t="shared" si="2"/>
        <v>0.4742132147</v>
      </c>
    </row>
    <row r="880">
      <c r="A880" s="88">
        <v>44690.0</v>
      </c>
      <c r="B880" s="89">
        <v>1475.0</v>
      </c>
      <c r="C880" s="89">
        <v>3.0</v>
      </c>
      <c r="D880" s="87" t="s">
        <v>204</v>
      </c>
      <c r="E880" s="89">
        <v>1.0</v>
      </c>
      <c r="F880" s="89">
        <v>0.521</v>
      </c>
      <c r="G880" s="89">
        <v>0.2465</v>
      </c>
      <c r="H880" s="98"/>
      <c r="I880" s="90">
        <f t="shared" si="1"/>
        <v>1.113590264</v>
      </c>
      <c r="J880" s="81">
        <f t="shared" si="2"/>
        <v>0.4731285988</v>
      </c>
    </row>
    <row r="881">
      <c r="A881" s="88">
        <v>44690.0</v>
      </c>
      <c r="B881" s="89">
        <v>2012.0</v>
      </c>
      <c r="C881" s="89">
        <v>1.0</v>
      </c>
      <c r="D881" s="87" t="s">
        <v>204</v>
      </c>
      <c r="E881" s="89">
        <v>1.0</v>
      </c>
      <c r="F881" s="89">
        <v>0.2859</v>
      </c>
      <c r="G881" s="89">
        <v>0.1352</v>
      </c>
      <c r="H881" s="98"/>
      <c r="I881" s="90">
        <f t="shared" si="1"/>
        <v>1.11464497</v>
      </c>
      <c r="J881" s="81">
        <f t="shared" si="2"/>
        <v>0.4728926198</v>
      </c>
    </row>
    <row r="882">
      <c r="A882" s="88">
        <v>44690.0</v>
      </c>
      <c r="B882" s="89">
        <v>2023.0</v>
      </c>
      <c r="C882" s="89">
        <v>3.0</v>
      </c>
      <c r="D882" s="87" t="s">
        <v>204</v>
      </c>
      <c r="E882" s="89">
        <v>0.0</v>
      </c>
      <c r="F882" s="89">
        <v>0.3371</v>
      </c>
      <c r="G882" s="89">
        <v>0.1589</v>
      </c>
      <c r="H882" s="98"/>
      <c r="I882" s="90">
        <f t="shared" si="1"/>
        <v>1.121460038</v>
      </c>
      <c r="J882" s="81">
        <f t="shared" si="2"/>
        <v>0.4713734797</v>
      </c>
    </row>
    <row r="883">
      <c r="A883" s="88">
        <v>44690.0</v>
      </c>
      <c r="B883" s="89">
        <v>2028.0</v>
      </c>
      <c r="C883" s="89">
        <v>1.0</v>
      </c>
      <c r="D883" s="87" t="s">
        <v>204</v>
      </c>
      <c r="E883" s="89">
        <v>0.0</v>
      </c>
      <c r="F883" s="89">
        <v>0.1403</v>
      </c>
      <c r="G883" s="89">
        <v>0.066</v>
      </c>
      <c r="H883" s="98"/>
      <c r="I883" s="90">
        <f t="shared" si="1"/>
        <v>1.125757576</v>
      </c>
      <c r="J883" s="81">
        <f t="shared" si="2"/>
        <v>0.4704205274</v>
      </c>
    </row>
    <row r="884">
      <c r="A884" s="88">
        <v>44690.0</v>
      </c>
      <c r="B884" s="89">
        <v>2023.0</v>
      </c>
      <c r="C884" s="89">
        <v>2.0</v>
      </c>
      <c r="D884" s="87" t="s">
        <v>204</v>
      </c>
      <c r="E884" s="89">
        <v>1.0</v>
      </c>
      <c r="F884" s="89">
        <v>0.1859</v>
      </c>
      <c r="G884" s="89">
        <v>0.0874</v>
      </c>
      <c r="H884" s="98"/>
      <c r="I884" s="90">
        <f t="shared" si="1"/>
        <v>1.127002288</v>
      </c>
      <c r="J884" s="81">
        <f t="shared" si="2"/>
        <v>0.4701452394</v>
      </c>
    </row>
    <row r="885">
      <c r="A885" s="88">
        <v>44690.0</v>
      </c>
      <c r="B885" s="89">
        <v>2025.0</v>
      </c>
      <c r="C885" s="89">
        <v>1.0</v>
      </c>
      <c r="D885" s="87" t="s">
        <v>205</v>
      </c>
      <c r="E885" s="89">
        <v>0.0</v>
      </c>
      <c r="F885" s="89">
        <v>1.705</v>
      </c>
      <c r="G885" s="89">
        <v>0.8015</v>
      </c>
      <c r="H885" s="98"/>
      <c r="I885" s="90">
        <f t="shared" si="1"/>
        <v>1.127261385</v>
      </c>
      <c r="J885" s="81">
        <f t="shared" si="2"/>
        <v>0.4700879765</v>
      </c>
    </row>
    <row r="886">
      <c r="A886" s="88">
        <v>44690.0</v>
      </c>
      <c r="B886" s="89">
        <v>2015.0</v>
      </c>
      <c r="C886" s="89">
        <v>2.0</v>
      </c>
      <c r="D886" s="87" t="s">
        <v>204</v>
      </c>
      <c r="E886" s="89">
        <v>1.0</v>
      </c>
      <c r="F886" s="89">
        <v>0.0751</v>
      </c>
      <c r="G886" s="89">
        <v>0.0353</v>
      </c>
      <c r="H886" s="98"/>
      <c r="I886" s="90">
        <f t="shared" si="1"/>
        <v>1.127478754</v>
      </c>
      <c r="J886" s="81">
        <f t="shared" si="2"/>
        <v>0.4700399467</v>
      </c>
    </row>
    <row r="887">
      <c r="A887" s="88">
        <v>44690.0</v>
      </c>
      <c r="B887" s="89">
        <v>2090.0</v>
      </c>
      <c r="C887" s="89">
        <v>1.0</v>
      </c>
      <c r="D887" s="87" t="s">
        <v>205</v>
      </c>
      <c r="E887" s="89">
        <v>0.0</v>
      </c>
      <c r="F887" s="89">
        <v>0.9738</v>
      </c>
      <c r="G887" s="89">
        <v>0.4575</v>
      </c>
      <c r="H887" s="98"/>
      <c r="I887" s="90">
        <f t="shared" si="1"/>
        <v>1.12852459</v>
      </c>
      <c r="J887" s="81">
        <f t="shared" si="2"/>
        <v>0.4698089957</v>
      </c>
    </row>
    <row r="888">
      <c r="A888" s="88">
        <v>44690.0</v>
      </c>
      <c r="B888" s="89">
        <v>2024.0</v>
      </c>
      <c r="C888" s="89">
        <v>1.0</v>
      </c>
      <c r="D888" s="87" t="s">
        <v>204</v>
      </c>
      <c r="E888" s="89">
        <v>0.0</v>
      </c>
      <c r="F888" s="89">
        <v>0.1968</v>
      </c>
      <c r="G888" s="89">
        <v>0.0924</v>
      </c>
      <c r="H888" s="98"/>
      <c r="I888" s="90">
        <f t="shared" si="1"/>
        <v>1.12987013</v>
      </c>
      <c r="J888" s="81">
        <f t="shared" si="2"/>
        <v>0.4695121951</v>
      </c>
    </row>
    <row r="889">
      <c r="A889" s="88">
        <v>44690.0</v>
      </c>
      <c r="B889" s="89">
        <v>2006.0</v>
      </c>
      <c r="C889" s="89">
        <v>2.0</v>
      </c>
      <c r="D889" s="87" t="s">
        <v>204</v>
      </c>
      <c r="E889" s="89">
        <v>1.0</v>
      </c>
      <c r="F889" s="89">
        <v>0.2746</v>
      </c>
      <c r="G889" s="89">
        <v>0.1288</v>
      </c>
      <c r="H889" s="98"/>
      <c r="I889" s="90">
        <f t="shared" si="1"/>
        <v>1.131987578</v>
      </c>
      <c r="J889" s="81">
        <f t="shared" si="2"/>
        <v>0.4690458849</v>
      </c>
    </row>
    <row r="890">
      <c r="A890" s="88">
        <v>44690.0</v>
      </c>
      <c r="B890" s="89">
        <v>1475.0</v>
      </c>
      <c r="C890" s="89">
        <v>1.0</v>
      </c>
      <c r="D890" s="87" t="s">
        <v>205</v>
      </c>
      <c r="E890" s="89">
        <v>0.0</v>
      </c>
      <c r="F890" s="89">
        <v>0.3418</v>
      </c>
      <c r="G890" s="89">
        <v>0.1599</v>
      </c>
      <c r="H890" s="98"/>
      <c r="I890" s="90">
        <f t="shared" si="1"/>
        <v>1.137585991</v>
      </c>
      <c r="J890" s="81">
        <f t="shared" si="2"/>
        <v>0.4678174371</v>
      </c>
    </row>
    <row r="891">
      <c r="A891" s="88">
        <v>44690.0</v>
      </c>
      <c r="B891" s="89">
        <v>2004.0</v>
      </c>
      <c r="C891" s="89">
        <v>3.0</v>
      </c>
      <c r="D891" s="87" t="s">
        <v>205</v>
      </c>
      <c r="E891" s="89">
        <v>0.0</v>
      </c>
      <c r="F891" s="99">
        <v>0.58</v>
      </c>
      <c r="G891" s="89">
        <v>0.2711</v>
      </c>
      <c r="H891" s="98"/>
      <c r="I891" s="90">
        <f t="shared" si="1"/>
        <v>1.139431944</v>
      </c>
      <c r="J891" s="81">
        <f t="shared" si="2"/>
        <v>0.4674137931</v>
      </c>
    </row>
    <row r="892">
      <c r="A892" s="88">
        <v>44690.0</v>
      </c>
      <c r="B892" s="89">
        <v>2085.0</v>
      </c>
      <c r="C892" s="89">
        <v>2.0</v>
      </c>
      <c r="D892" s="87" t="s">
        <v>205</v>
      </c>
      <c r="E892" s="89">
        <v>0.0</v>
      </c>
      <c r="F892" s="89">
        <v>0.4911</v>
      </c>
      <c r="G892" s="89">
        <v>0.2295</v>
      </c>
      <c r="H892" s="98"/>
      <c r="I892" s="90">
        <f t="shared" si="1"/>
        <v>1.139869281</v>
      </c>
      <c r="J892" s="81">
        <f t="shared" si="2"/>
        <v>0.4673182651</v>
      </c>
    </row>
    <row r="893">
      <c r="A893" s="88">
        <v>44690.0</v>
      </c>
      <c r="B893" s="89">
        <v>2020.0</v>
      </c>
      <c r="C893" s="89">
        <v>3.0</v>
      </c>
      <c r="D893" s="87" t="s">
        <v>204</v>
      </c>
      <c r="E893" s="89">
        <v>0.0</v>
      </c>
      <c r="F893" s="89">
        <v>0.0707</v>
      </c>
      <c r="G893" s="89">
        <v>0.033</v>
      </c>
      <c r="H893" s="98"/>
      <c r="I893" s="90">
        <f t="shared" si="1"/>
        <v>1.142424242</v>
      </c>
      <c r="J893" s="81">
        <f t="shared" si="2"/>
        <v>0.4667609618</v>
      </c>
    </row>
    <row r="894">
      <c r="A894" s="88">
        <v>44690.0</v>
      </c>
      <c r="B894" s="89">
        <v>2088.0</v>
      </c>
      <c r="C894" s="89">
        <v>3.0</v>
      </c>
      <c r="D894" s="87" t="s">
        <v>205</v>
      </c>
      <c r="E894" s="89">
        <v>0.0</v>
      </c>
      <c r="F894" s="89">
        <v>0.9132</v>
      </c>
      <c r="G894" s="89">
        <v>0.4257</v>
      </c>
      <c r="H894" s="98"/>
      <c r="I894" s="90">
        <f t="shared" si="1"/>
        <v>1.145172657</v>
      </c>
      <c r="J894" s="81">
        <f t="shared" si="2"/>
        <v>0.4661629435</v>
      </c>
    </row>
    <row r="895">
      <c r="A895" s="88">
        <v>44690.0</v>
      </c>
      <c r="B895" s="89">
        <v>2087.0</v>
      </c>
      <c r="C895" s="89">
        <v>1.0</v>
      </c>
      <c r="D895" s="87" t="s">
        <v>205</v>
      </c>
      <c r="E895" s="89">
        <v>0.0</v>
      </c>
      <c r="F895" s="89">
        <v>0.747</v>
      </c>
      <c r="G895" s="89">
        <v>0.3482</v>
      </c>
      <c r="H895" s="98"/>
      <c r="I895" s="90">
        <f t="shared" si="1"/>
        <v>1.145318782</v>
      </c>
      <c r="J895" s="81">
        <f t="shared" si="2"/>
        <v>0.4661311914</v>
      </c>
    </row>
    <row r="896">
      <c r="A896" s="88">
        <v>44690.0</v>
      </c>
      <c r="B896" s="89">
        <v>2087.0</v>
      </c>
      <c r="C896" s="89">
        <v>3.0</v>
      </c>
      <c r="D896" s="87" t="s">
        <v>204</v>
      </c>
      <c r="E896" s="89">
        <v>1.0</v>
      </c>
      <c r="F896" s="89">
        <v>0.6176</v>
      </c>
      <c r="G896" s="89">
        <v>0.2874</v>
      </c>
      <c r="H896" s="98"/>
      <c r="I896" s="90">
        <f t="shared" si="1"/>
        <v>1.148921364</v>
      </c>
      <c r="J896" s="81">
        <f t="shared" si="2"/>
        <v>0.4653497409</v>
      </c>
    </row>
    <row r="897">
      <c r="A897" s="88">
        <v>44690.0</v>
      </c>
      <c r="B897" s="89">
        <v>2012.0</v>
      </c>
      <c r="C897" s="89">
        <v>3.0</v>
      </c>
      <c r="D897" s="87" t="s">
        <v>205</v>
      </c>
      <c r="E897" s="89">
        <v>0.0</v>
      </c>
      <c r="F897" s="89">
        <v>0.4954</v>
      </c>
      <c r="G897" s="89">
        <v>0.2298</v>
      </c>
      <c r="H897" s="98"/>
      <c r="I897" s="90">
        <f t="shared" si="1"/>
        <v>1.155787641</v>
      </c>
      <c r="J897" s="81">
        <f t="shared" si="2"/>
        <v>0.4638675818</v>
      </c>
    </row>
    <row r="898">
      <c r="A898" s="88">
        <v>44690.0</v>
      </c>
      <c r="B898" s="89">
        <v>2090.0</v>
      </c>
      <c r="C898" s="89">
        <v>3.0</v>
      </c>
      <c r="D898" s="87" t="s">
        <v>205</v>
      </c>
      <c r="E898" s="89">
        <v>0.0</v>
      </c>
      <c r="F898" s="89">
        <v>0.973</v>
      </c>
      <c r="G898" s="89">
        <v>0.4512</v>
      </c>
      <c r="H898" s="98"/>
      <c r="I898" s="90">
        <f t="shared" si="1"/>
        <v>1.156471631</v>
      </c>
      <c r="J898" s="81">
        <f t="shared" si="2"/>
        <v>0.4637204522</v>
      </c>
    </row>
    <row r="899">
      <c r="A899" s="88">
        <v>44690.0</v>
      </c>
      <c r="B899" s="89">
        <v>2093.0</v>
      </c>
      <c r="C899" s="89">
        <v>2.0</v>
      </c>
      <c r="D899" s="87" t="s">
        <v>205</v>
      </c>
      <c r="E899" s="89">
        <v>0.0</v>
      </c>
      <c r="F899" s="89">
        <v>2.2081</v>
      </c>
      <c r="G899" s="89">
        <v>1.0237</v>
      </c>
      <c r="H899" s="98"/>
      <c r="I899" s="90">
        <f t="shared" si="1"/>
        <v>1.156979584</v>
      </c>
      <c r="J899" s="81">
        <f t="shared" si="2"/>
        <v>0.4636112495</v>
      </c>
    </row>
    <row r="900">
      <c r="A900" s="88">
        <v>44690.0</v>
      </c>
      <c r="B900" s="89">
        <v>2013.0</v>
      </c>
      <c r="C900" s="89">
        <v>3.0</v>
      </c>
      <c r="D900" s="87" t="s">
        <v>204</v>
      </c>
      <c r="E900" s="89">
        <v>1.0</v>
      </c>
      <c r="F900" s="89">
        <v>0.526</v>
      </c>
      <c r="G900" s="89">
        <v>0.243</v>
      </c>
      <c r="H900" s="98"/>
      <c r="I900" s="90">
        <f t="shared" si="1"/>
        <v>1.164609053</v>
      </c>
      <c r="J900" s="81">
        <f t="shared" si="2"/>
        <v>0.4619771863</v>
      </c>
    </row>
    <row r="901">
      <c r="A901" s="88">
        <v>44690.0</v>
      </c>
      <c r="B901" s="89">
        <v>2015.0</v>
      </c>
      <c r="C901" s="89">
        <v>1.0</v>
      </c>
      <c r="D901" s="87" t="s">
        <v>204</v>
      </c>
      <c r="E901" s="89">
        <v>1.0</v>
      </c>
      <c r="F901" s="89">
        <v>0.0996</v>
      </c>
      <c r="G901" s="89">
        <v>0.046</v>
      </c>
      <c r="H901" s="98"/>
      <c r="I901" s="90">
        <f t="shared" si="1"/>
        <v>1.165217391</v>
      </c>
      <c r="J901" s="81">
        <f t="shared" si="2"/>
        <v>0.4618473896</v>
      </c>
    </row>
    <row r="902">
      <c r="A902" s="88">
        <v>44690.0</v>
      </c>
      <c r="B902" s="89">
        <v>2022.0</v>
      </c>
      <c r="C902" s="89">
        <v>3.0</v>
      </c>
      <c r="D902" s="87" t="s">
        <v>205</v>
      </c>
      <c r="E902" s="89">
        <v>0.0</v>
      </c>
      <c r="F902" s="89">
        <v>0.209</v>
      </c>
      <c r="G902" s="89">
        <v>0.0965</v>
      </c>
      <c r="H902" s="98"/>
      <c r="I902" s="90">
        <f t="shared" si="1"/>
        <v>1.165803109</v>
      </c>
      <c r="J902" s="81">
        <f t="shared" si="2"/>
        <v>0.461722488</v>
      </c>
    </row>
    <row r="903">
      <c r="A903" s="88">
        <v>44690.0</v>
      </c>
      <c r="B903" s="89">
        <v>2012.0</v>
      </c>
      <c r="C903" s="89">
        <v>3.0</v>
      </c>
      <c r="D903" s="87" t="s">
        <v>204</v>
      </c>
      <c r="E903" s="89">
        <v>1.0</v>
      </c>
      <c r="F903" s="89">
        <v>0.2449</v>
      </c>
      <c r="G903" s="89">
        <v>0.1129</v>
      </c>
      <c r="H903" s="98"/>
      <c r="I903" s="90">
        <f t="shared" si="1"/>
        <v>1.169176262</v>
      </c>
      <c r="J903" s="81">
        <f t="shared" si="2"/>
        <v>0.4610044916</v>
      </c>
    </row>
    <row r="904">
      <c r="A904" s="88">
        <v>44690.0</v>
      </c>
      <c r="B904" s="89">
        <v>2012.0</v>
      </c>
      <c r="C904" s="89">
        <v>1.0</v>
      </c>
      <c r="D904" s="87" t="s">
        <v>205</v>
      </c>
      <c r="E904" s="89">
        <v>0.0</v>
      </c>
      <c r="F904" s="89">
        <v>0.5863</v>
      </c>
      <c r="G904" s="89">
        <v>0.2699</v>
      </c>
      <c r="H904" s="98"/>
      <c r="I904" s="90">
        <f t="shared" si="1"/>
        <v>1.172286032</v>
      </c>
      <c r="J904" s="81">
        <f t="shared" si="2"/>
        <v>0.4603445335</v>
      </c>
    </row>
    <row r="905">
      <c r="A905" s="88">
        <v>44690.0</v>
      </c>
      <c r="B905" s="89">
        <v>2012.0</v>
      </c>
      <c r="C905" s="89">
        <v>2.0</v>
      </c>
      <c r="D905" s="87" t="s">
        <v>204</v>
      </c>
      <c r="E905" s="89">
        <v>1.0</v>
      </c>
      <c r="F905" s="89">
        <v>0.2765</v>
      </c>
      <c r="G905" s="89">
        <v>0.1272</v>
      </c>
      <c r="H905" s="98"/>
      <c r="I905" s="90">
        <f t="shared" si="1"/>
        <v>1.173742138</v>
      </c>
      <c r="J905" s="81">
        <f t="shared" si="2"/>
        <v>0.4600361664</v>
      </c>
    </row>
    <row r="906">
      <c r="A906" s="88">
        <v>44690.0</v>
      </c>
      <c r="B906" s="89">
        <v>2085.0</v>
      </c>
      <c r="C906" s="89">
        <v>2.0</v>
      </c>
      <c r="D906" s="87" t="s">
        <v>204</v>
      </c>
      <c r="E906" s="89">
        <v>1.0</v>
      </c>
      <c r="F906" s="89">
        <v>0.1935</v>
      </c>
      <c r="G906" s="89">
        <v>0.0889</v>
      </c>
      <c r="H906" s="98"/>
      <c r="I906" s="90">
        <f t="shared" si="1"/>
        <v>1.176602925</v>
      </c>
      <c r="J906" s="81">
        <f t="shared" si="2"/>
        <v>0.4594315245</v>
      </c>
    </row>
    <row r="907">
      <c r="A907" s="88">
        <v>44690.0</v>
      </c>
      <c r="B907" s="89">
        <v>2029.0</v>
      </c>
      <c r="C907" s="89">
        <v>2.0</v>
      </c>
      <c r="D907" s="87" t="s">
        <v>204</v>
      </c>
      <c r="E907" s="89">
        <v>0.0</v>
      </c>
      <c r="F907" s="89">
        <v>0.0616</v>
      </c>
      <c r="G907" s="89">
        <v>0.0283</v>
      </c>
      <c r="H907" s="98"/>
      <c r="I907" s="90">
        <f t="shared" si="1"/>
        <v>1.176678445</v>
      </c>
      <c r="J907" s="81">
        <f t="shared" si="2"/>
        <v>0.4594155844</v>
      </c>
    </row>
    <row r="908">
      <c r="A908" s="88">
        <v>44690.0</v>
      </c>
      <c r="B908" s="89">
        <v>2086.0</v>
      </c>
      <c r="C908" s="89">
        <v>2.0</v>
      </c>
      <c r="D908" s="87" t="s">
        <v>205</v>
      </c>
      <c r="E908" s="89">
        <v>0.0</v>
      </c>
      <c r="F908" s="89">
        <v>2.092</v>
      </c>
      <c r="G908" s="89">
        <v>0.9603</v>
      </c>
      <c r="H908" s="98"/>
      <c r="I908" s="90">
        <f t="shared" si="1"/>
        <v>1.17848589</v>
      </c>
      <c r="J908" s="81">
        <f t="shared" si="2"/>
        <v>0.4590344168</v>
      </c>
    </row>
    <row r="909">
      <c r="A909" s="88">
        <v>44690.0</v>
      </c>
      <c r="B909" s="89">
        <v>2085.0</v>
      </c>
      <c r="C909" s="89">
        <v>1.0</v>
      </c>
      <c r="D909" s="87" t="s">
        <v>205</v>
      </c>
      <c r="E909" s="89">
        <v>0.0</v>
      </c>
      <c r="F909" s="89">
        <v>0.7909</v>
      </c>
      <c r="G909" s="89">
        <v>0.3619</v>
      </c>
      <c r="H909" s="98"/>
      <c r="I909" s="90">
        <f t="shared" si="1"/>
        <v>1.185410334</v>
      </c>
      <c r="J909" s="81">
        <f t="shared" si="2"/>
        <v>0.4575799722</v>
      </c>
    </row>
    <row r="910">
      <c r="A910" s="88">
        <v>44690.0</v>
      </c>
      <c r="B910" s="89">
        <v>2090.0</v>
      </c>
      <c r="C910" s="89">
        <v>2.0</v>
      </c>
      <c r="D910" s="87" t="s">
        <v>205</v>
      </c>
      <c r="E910" s="89">
        <v>0.0</v>
      </c>
      <c r="F910" s="89">
        <v>0.675</v>
      </c>
      <c r="G910" s="89">
        <v>0.3088</v>
      </c>
      <c r="H910" s="98"/>
      <c r="I910" s="90">
        <f t="shared" si="1"/>
        <v>1.185880829</v>
      </c>
      <c r="J910" s="81">
        <f t="shared" si="2"/>
        <v>0.4574814815</v>
      </c>
    </row>
    <row r="911">
      <c r="A911" s="88">
        <v>44690.0</v>
      </c>
      <c r="B911" s="89">
        <v>2025.0</v>
      </c>
      <c r="C911" s="89">
        <v>3.0</v>
      </c>
      <c r="D911" s="87" t="s">
        <v>204</v>
      </c>
      <c r="E911" s="89">
        <v>0.0</v>
      </c>
      <c r="F911" s="99">
        <v>0.181</v>
      </c>
      <c r="G911" s="89">
        <v>0.0828</v>
      </c>
      <c r="H911" s="98"/>
      <c r="I911" s="90">
        <f t="shared" si="1"/>
        <v>1.185990338</v>
      </c>
      <c r="J911" s="81">
        <f t="shared" si="2"/>
        <v>0.4574585635</v>
      </c>
    </row>
    <row r="912">
      <c r="A912" s="88">
        <v>44690.0</v>
      </c>
      <c r="B912" s="89">
        <v>2088.0</v>
      </c>
      <c r="C912" s="89">
        <v>2.0</v>
      </c>
      <c r="D912" s="87" t="s">
        <v>205</v>
      </c>
      <c r="E912" s="89">
        <v>0.0</v>
      </c>
      <c r="F912" s="89">
        <v>0.561</v>
      </c>
      <c r="G912" s="89">
        <v>0.2565</v>
      </c>
      <c r="H912" s="98"/>
      <c r="I912" s="90">
        <f t="shared" si="1"/>
        <v>1.187134503</v>
      </c>
      <c r="J912" s="81">
        <f t="shared" si="2"/>
        <v>0.4572192513</v>
      </c>
    </row>
    <row r="913">
      <c r="A913" s="88">
        <v>44690.0</v>
      </c>
      <c r="B913" s="89">
        <v>2026.0</v>
      </c>
      <c r="C913" s="89">
        <v>1.0</v>
      </c>
      <c r="D913" s="87" t="s">
        <v>204</v>
      </c>
      <c r="E913" s="89">
        <v>0.0</v>
      </c>
      <c r="F913" s="89">
        <v>0.6324</v>
      </c>
      <c r="G913" s="89">
        <v>0.289</v>
      </c>
      <c r="H913" s="98"/>
      <c r="I913" s="90">
        <f t="shared" si="1"/>
        <v>1.188235294</v>
      </c>
      <c r="J913" s="81">
        <f t="shared" si="2"/>
        <v>0.4569892473</v>
      </c>
    </row>
    <row r="914">
      <c r="A914" s="88">
        <v>44690.0</v>
      </c>
      <c r="B914" s="89">
        <v>2092.0</v>
      </c>
      <c r="C914" s="89">
        <v>3.0</v>
      </c>
      <c r="D914" s="87" t="s">
        <v>204</v>
      </c>
      <c r="E914" s="89">
        <v>0.0</v>
      </c>
      <c r="F914" s="89">
        <v>0.0613</v>
      </c>
      <c r="G914" s="89">
        <v>0.028</v>
      </c>
      <c r="H914" s="98"/>
      <c r="I914" s="90">
        <f t="shared" si="1"/>
        <v>1.189285714</v>
      </c>
      <c r="J914" s="81">
        <f t="shared" si="2"/>
        <v>0.4567699837</v>
      </c>
    </row>
    <row r="915">
      <c r="A915" s="88">
        <v>44690.0</v>
      </c>
      <c r="B915" s="89">
        <v>2088.0</v>
      </c>
      <c r="C915" s="89">
        <v>3.0</v>
      </c>
      <c r="D915" s="87" t="s">
        <v>204</v>
      </c>
      <c r="E915" s="89">
        <v>1.0</v>
      </c>
      <c r="F915" s="89">
        <v>0.3755</v>
      </c>
      <c r="G915" s="89">
        <v>0.1714</v>
      </c>
      <c r="H915" s="98"/>
      <c r="I915" s="90">
        <f t="shared" si="1"/>
        <v>1.190781797</v>
      </c>
      <c r="J915" s="81">
        <f t="shared" si="2"/>
        <v>0.4564580559</v>
      </c>
    </row>
    <row r="916">
      <c r="A916" s="88">
        <v>44690.0</v>
      </c>
      <c r="B916" s="89">
        <v>2027.0</v>
      </c>
      <c r="C916" s="89">
        <v>1.0</v>
      </c>
      <c r="D916" s="87" t="s">
        <v>204</v>
      </c>
      <c r="E916" s="89">
        <v>0.0</v>
      </c>
      <c r="F916" s="89">
        <v>0.206</v>
      </c>
      <c r="G916" s="89">
        <v>0.0937</v>
      </c>
      <c r="H916" s="98"/>
      <c r="I916" s="90">
        <f t="shared" si="1"/>
        <v>1.19850587</v>
      </c>
      <c r="J916" s="81">
        <f t="shared" si="2"/>
        <v>0.4548543689</v>
      </c>
    </row>
    <row r="917">
      <c r="A917" s="88">
        <v>44690.0</v>
      </c>
      <c r="B917" s="89">
        <v>2086.0</v>
      </c>
      <c r="C917" s="89">
        <v>3.0</v>
      </c>
      <c r="D917" s="87" t="s">
        <v>204</v>
      </c>
      <c r="E917" s="89">
        <v>1.0</v>
      </c>
      <c r="F917" s="89">
        <v>0.3905</v>
      </c>
      <c r="G917" s="89">
        <v>0.1775</v>
      </c>
      <c r="H917" s="98"/>
      <c r="I917" s="90">
        <f t="shared" si="1"/>
        <v>1.2</v>
      </c>
      <c r="J917" s="81">
        <f t="shared" si="2"/>
        <v>0.4545454545</v>
      </c>
    </row>
    <row r="918">
      <c r="A918" s="88">
        <v>44690.0</v>
      </c>
      <c r="B918" s="89">
        <v>2087.0</v>
      </c>
      <c r="C918" s="89">
        <v>2.0</v>
      </c>
      <c r="D918" s="87" t="s">
        <v>205</v>
      </c>
      <c r="E918" s="89">
        <v>0.0</v>
      </c>
      <c r="F918" s="89">
        <v>1.1821</v>
      </c>
      <c r="G918" s="89">
        <v>0.5367</v>
      </c>
      <c r="H918" s="98"/>
      <c r="I918" s="90">
        <f t="shared" si="1"/>
        <v>1.202534004</v>
      </c>
      <c r="J918" s="81">
        <f t="shared" si="2"/>
        <v>0.4540225023</v>
      </c>
    </row>
    <row r="919">
      <c r="A919" s="88">
        <v>44690.0</v>
      </c>
      <c r="B919" s="89">
        <v>2029.0</v>
      </c>
      <c r="C919" s="89">
        <v>1.0</v>
      </c>
      <c r="D919" s="87" t="s">
        <v>204</v>
      </c>
      <c r="E919" s="89">
        <v>0.0</v>
      </c>
      <c r="F919" s="89">
        <v>0.1861</v>
      </c>
      <c r="G919" s="89">
        <v>0.0844</v>
      </c>
      <c r="H919" s="98"/>
      <c r="I919" s="90">
        <f t="shared" si="1"/>
        <v>1.204976303</v>
      </c>
      <c r="J919" s="81">
        <f t="shared" si="2"/>
        <v>0.4535196131</v>
      </c>
    </row>
    <row r="920">
      <c r="A920" s="88">
        <v>44690.0</v>
      </c>
      <c r="B920" s="89">
        <v>2029.0</v>
      </c>
      <c r="C920" s="89">
        <v>3.0</v>
      </c>
      <c r="D920" s="87" t="s">
        <v>204</v>
      </c>
      <c r="E920" s="89">
        <v>1.0</v>
      </c>
      <c r="F920" s="89">
        <v>0.2212</v>
      </c>
      <c r="G920" s="89">
        <v>0.1002</v>
      </c>
      <c r="H920" s="98"/>
      <c r="I920" s="90">
        <f t="shared" si="1"/>
        <v>1.20758483</v>
      </c>
      <c r="J920" s="81">
        <f t="shared" si="2"/>
        <v>0.4529837251</v>
      </c>
    </row>
    <row r="921">
      <c r="A921" s="88">
        <v>44690.0</v>
      </c>
      <c r="B921" s="89">
        <v>2021.0</v>
      </c>
      <c r="C921" s="89">
        <v>1.0</v>
      </c>
      <c r="D921" s="87" t="s">
        <v>204</v>
      </c>
      <c r="E921" s="89">
        <v>0.0</v>
      </c>
      <c r="F921" s="89">
        <v>0.1955</v>
      </c>
      <c r="G921" s="89">
        <v>0.0884</v>
      </c>
      <c r="H921" s="98"/>
      <c r="I921" s="90">
        <f t="shared" si="1"/>
        <v>1.211538462</v>
      </c>
      <c r="J921" s="81">
        <f t="shared" si="2"/>
        <v>0.452173913</v>
      </c>
    </row>
    <row r="922">
      <c r="A922" s="88">
        <v>44690.0</v>
      </c>
      <c r="B922" s="89">
        <v>2089.0</v>
      </c>
      <c r="C922" s="89">
        <v>2.0</v>
      </c>
      <c r="D922" s="87" t="s">
        <v>204</v>
      </c>
      <c r="E922" s="89">
        <v>0.0</v>
      </c>
      <c r="F922" s="89">
        <v>0.1613</v>
      </c>
      <c r="G922" s="89">
        <v>0.0729</v>
      </c>
      <c r="H922" s="98"/>
      <c r="I922" s="90">
        <f t="shared" si="1"/>
        <v>1.212620027</v>
      </c>
      <c r="J922" s="81">
        <f t="shared" si="2"/>
        <v>0.4519528828</v>
      </c>
    </row>
    <row r="923">
      <c r="A923" s="88">
        <v>44690.0</v>
      </c>
      <c r="B923" s="89">
        <v>2006.0</v>
      </c>
      <c r="C923" s="89">
        <v>1.0</v>
      </c>
      <c r="D923" s="87" t="s">
        <v>204</v>
      </c>
      <c r="E923" s="89">
        <v>0.0</v>
      </c>
      <c r="F923" s="89">
        <v>0.2738</v>
      </c>
      <c r="G923" s="89">
        <v>0.1237</v>
      </c>
      <c r="H923" s="98"/>
      <c r="I923" s="90">
        <f t="shared" si="1"/>
        <v>1.213419563</v>
      </c>
      <c r="J923" s="81">
        <f t="shared" si="2"/>
        <v>0.4517896275</v>
      </c>
    </row>
    <row r="924">
      <c r="A924" s="88">
        <v>44690.0</v>
      </c>
      <c r="B924" s="89">
        <v>2025.0</v>
      </c>
      <c r="C924" s="89">
        <v>1.0</v>
      </c>
      <c r="D924" s="87" t="s">
        <v>204</v>
      </c>
      <c r="E924" s="89">
        <v>0.0</v>
      </c>
      <c r="F924" s="89">
        <v>0.4383</v>
      </c>
      <c r="G924" s="89">
        <v>0.198</v>
      </c>
      <c r="H924" s="98"/>
      <c r="I924" s="90">
        <f t="shared" si="1"/>
        <v>1.213636364</v>
      </c>
      <c r="J924" s="81">
        <f t="shared" si="2"/>
        <v>0.4517453799</v>
      </c>
    </row>
    <row r="925">
      <c r="A925" s="88">
        <v>44690.0</v>
      </c>
      <c r="B925" s="89">
        <v>2093.0</v>
      </c>
      <c r="C925" s="89">
        <v>1.0</v>
      </c>
      <c r="D925" s="87" t="s">
        <v>205</v>
      </c>
      <c r="E925" s="89">
        <v>0.0</v>
      </c>
      <c r="F925" s="89">
        <v>1.5562</v>
      </c>
      <c r="G925" s="89">
        <v>0.7019</v>
      </c>
      <c r="H925" s="98"/>
      <c r="I925" s="90">
        <f t="shared" si="1"/>
        <v>1.217124947</v>
      </c>
      <c r="J925" s="81">
        <f t="shared" si="2"/>
        <v>0.4510345714</v>
      </c>
    </row>
    <row r="926">
      <c r="A926" s="88">
        <v>44690.0</v>
      </c>
      <c r="B926" s="89">
        <v>2085.0</v>
      </c>
      <c r="C926" s="89">
        <v>1.0</v>
      </c>
      <c r="D926" s="87" t="s">
        <v>204</v>
      </c>
      <c r="E926" s="89">
        <v>1.0</v>
      </c>
      <c r="F926" s="89">
        <v>0.6429</v>
      </c>
      <c r="G926" s="89">
        <v>0.2899</v>
      </c>
      <c r="H926" s="98"/>
      <c r="I926" s="90">
        <f t="shared" si="1"/>
        <v>1.217661263</v>
      </c>
      <c r="J926" s="81">
        <f t="shared" si="2"/>
        <v>0.4509254939</v>
      </c>
    </row>
    <row r="927">
      <c r="A927" s="88">
        <v>44690.0</v>
      </c>
      <c r="B927" s="89">
        <v>2087.0</v>
      </c>
      <c r="C927" s="89">
        <v>2.0</v>
      </c>
      <c r="D927" s="87" t="s">
        <v>204</v>
      </c>
      <c r="E927" s="89">
        <v>1.0</v>
      </c>
      <c r="F927" s="89">
        <v>0.4134</v>
      </c>
      <c r="G927" s="89">
        <v>0.1863</v>
      </c>
      <c r="H927" s="98"/>
      <c r="I927" s="90">
        <f t="shared" si="1"/>
        <v>1.21900161</v>
      </c>
      <c r="J927" s="81">
        <f t="shared" si="2"/>
        <v>0.4506531205</v>
      </c>
    </row>
    <row r="928">
      <c r="A928" s="88">
        <v>44690.0</v>
      </c>
      <c r="B928" s="89">
        <v>2024.0</v>
      </c>
      <c r="C928" s="89">
        <v>3.0</v>
      </c>
      <c r="D928" s="87" t="s">
        <v>204</v>
      </c>
      <c r="E928" s="89">
        <v>0.0</v>
      </c>
      <c r="F928" s="89">
        <v>0.3882</v>
      </c>
      <c r="G928" s="89">
        <v>0.1749</v>
      </c>
      <c r="H928" s="98"/>
      <c r="I928" s="90">
        <f t="shared" si="1"/>
        <v>1.219554031</v>
      </c>
      <c r="J928" s="81">
        <f t="shared" si="2"/>
        <v>0.4505409583</v>
      </c>
    </row>
    <row r="929">
      <c r="A929" s="88">
        <v>44690.0</v>
      </c>
      <c r="B929" s="89">
        <v>2006.0</v>
      </c>
      <c r="C929" s="89">
        <v>3.0</v>
      </c>
      <c r="D929" s="87" t="s">
        <v>204</v>
      </c>
      <c r="E929" s="89">
        <v>0.0</v>
      </c>
      <c r="F929" s="89">
        <v>0.0726</v>
      </c>
      <c r="G929" s="89">
        <v>0.0327</v>
      </c>
      <c r="H929" s="98"/>
      <c r="I929" s="90">
        <f t="shared" si="1"/>
        <v>1.220183486</v>
      </c>
      <c r="J929" s="81">
        <f t="shared" si="2"/>
        <v>0.4504132231</v>
      </c>
    </row>
    <row r="930">
      <c r="A930" s="88">
        <v>44690.0</v>
      </c>
      <c r="B930" s="89">
        <v>2087.0</v>
      </c>
      <c r="C930" s="89">
        <v>1.0</v>
      </c>
      <c r="D930" s="87" t="s">
        <v>204</v>
      </c>
      <c r="E930" s="89">
        <v>1.0</v>
      </c>
      <c r="F930" s="89">
        <v>0.2468</v>
      </c>
      <c r="G930" s="99">
        <v>0.111</v>
      </c>
      <c r="H930" s="98"/>
      <c r="I930" s="90">
        <f t="shared" si="1"/>
        <v>1.223423423</v>
      </c>
      <c r="J930" s="81">
        <f t="shared" si="2"/>
        <v>0.4497568882</v>
      </c>
    </row>
    <row r="931">
      <c r="A931" s="88">
        <v>44690.0</v>
      </c>
      <c r="B931" s="89">
        <v>2026.0</v>
      </c>
      <c r="C931" s="89">
        <v>2.0</v>
      </c>
      <c r="D931" s="87" t="s">
        <v>204</v>
      </c>
      <c r="E931" s="89">
        <v>0.0</v>
      </c>
      <c r="F931" s="89">
        <v>0.3642</v>
      </c>
      <c r="G931" s="89">
        <v>0.1633</v>
      </c>
      <c r="H931" s="98"/>
      <c r="I931" s="90">
        <f t="shared" si="1"/>
        <v>1.230251072</v>
      </c>
      <c r="J931" s="81">
        <f t="shared" si="2"/>
        <v>0.448380011</v>
      </c>
    </row>
    <row r="932">
      <c r="A932" s="88">
        <v>44690.0</v>
      </c>
      <c r="B932" s="89">
        <v>2087.0</v>
      </c>
      <c r="C932" s="89">
        <v>3.0</v>
      </c>
      <c r="D932" s="87" t="s">
        <v>205</v>
      </c>
      <c r="E932" s="89">
        <v>0.0</v>
      </c>
      <c r="F932" s="99">
        <v>2.509</v>
      </c>
      <c r="G932" s="89">
        <v>1.1249</v>
      </c>
      <c r="H932" s="98"/>
      <c r="I932" s="90">
        <f t="shared" si="1"/>
        <v>1.230420482</v>
      </c>
      <c r="J932" s="81">
        <f t="shared" si="2"/>
        <v>0.4483459546</v>
      </c>
    </row>
    <row r="933">
      <c r="A933" s="88">
        <v>44690.0</v>
      </c>
      <c r="B933" s="89">
        <v>2080.0</v>
      </c>
      <c r="C933" s="89">
        <v>1.0</v>
      </c>
      <c r="D933" s="87" t="s">
        <v>205</v>
      </c>
      <c r="E933" s="89">
        <v>0.0</v>
      </c>
      <c r="F933" s="89">
        <v>1.7455</v>
      </c>
      <c r="G933" s="89">
        <v>0.7823</v>
      </c>
      <c r="H933" s="98"/>
      <c r="I933" s="90">
        <f t="shared" si="1"/>
        <v>1.231241212</v>
      </c>
      <c r="J933" s="81">
        <f t="shared" si="2"/>
        <v>0.448181037</v>
      </c>
    </row>
    <row r="934">
      <c r="A934" s="88">
        <v>44690.0</v>
      </c>
      <c r="B934" s="89">
        <v>2027.0</v>
      </c>
      <c r="C934" s="89">
        <v>3.0</v>
      </c>
      <c r="D934" s="87" t="s">
        <v>204</v>
      </c>
      <c r="E934" s="89">
        <v>0.0</v>
      </c>
      <c r="F934" s="89">
        <v>0.2916</v>
      </c>
      <c r="G934" s="89">
        <v>0.13</v>
      </c>
      <c r="H934" s="98"/>
      <c r="I934" s="90">
        <f t="shared" si="1"/>
        <v>1.243076923</v>
      </c>
      <c r="J934" s="81">
        <f t="shared" si="2"/>
        <v>0.4458161866</v>
      </c>
    </row>
    <row r="935">
      <c r="A935" s="88">
        <v>44690.0</v>
      </c>
      <c r="B935" s="89">
        <v>2027.0</v>
      </c>
      <c r="C935" s="89">
        <v>2.0</v>
      </c>
      <c r="D935" s="87" t="s">
        <v>204</v>
      </c>
      <c r="E935" s="89">
        <v>1.0</v>
      </c>
      <c r="F935" s="89">
        <v>0.1581</v>
      </c>
      <c r="G935" s="89">
        <v>0.0704</v>
      </c>
      <c r="H935" s="98"/>
      <c r="I935" s="90">
        <f t="shared" si="1"/>
        <v>1.245738636</v>
      </c>
      <c r="J935" s="81">
        <f t="shared" si="2"/>
        <v>0.4452877925</v>
      </c>
    </row>
    <row r="936">
      <c r="A936" s="88">
        <v>44690.0</v>
      </c>
      <c r="B936" s="89">
        <v>2088.0</v>
      </c>
      <c r="C936" s="89">
        <v>2.0</v>
      </c>
      <c r="D936" s="87" t="s">
        <v>204</v>
      </c>
      <c r="E936" s="89">
        <v>0.0</v>
      </c>
      <c r="F936" s="89">
        <v>0.0784</v>
      </c>
      <c r="G936" s="89">
        <v>0.0349</v>
      </c>
      <c r="H936" s="98"/>
      <c r="I936" s="90">
        <f t="shared" si="1"/>
        <v>1.246418338</v>
      </c>
      <c r="J936" s="81">
        <f t="shared" si="2"/>
        <v>0.4451530612</v>
      </c>
    </row>
    <row r="937">
      <c r="A937" s="88">
        <v>44690.0</v>
      </c>
      <c r="B937" s="89">
        <v>2013.0</v>
      </c>
      <c r="C937" s="89">
        <v>1.0</v>
      </c>
      <c r="D937" s="87" t="s">
        <v>204</v>
      </c>
      <c r="E937" s="89">
        <v>0.0</v>
      </c>
      <c r="F937" s="89">
        <v>0.0764</v>
      </c>
      <c r="G937" s="89">
        <v>0.034</v>
      </c>
      <c r="H937" s="98"/>
      <c r="I937" s="90">
        <f t="shared" si="1"/>
        <v>1.247058824</v>
      </c>
      <c r="J937" s="81">
        <f t="shared" si="2"/>
        <v>0.445026178</v>
      </c>
    </row>
    <row r="938">
      <c r="A938" s="88">
        <v>44690.0</v>
      </c>
      <c r="B938" s="89">
        <v>2027.0</v>
      </c>
      <c r="C938" s="89">
        <v>2.0</v>
      </c>
      <c r="D938" s="87" t="s">
        <v>204</v>
      </c>
      <c r="E938" s="89">
        <v>0.0</v>
      </c>
      <c r="F938" s="89">
        <v>0.2343</v>
      </c>
      <c r="G938" s="89">
        <v>0.104</v>
      </c>
      <c r="H938" s="98"/>
      <c r="I938" s="90">
        <f t="shared" si="1"/>
        <v>1.252884615</v>
      </c>
      <c r="J938" s="81">
        <f t="shared" si="2"/>
        <v>0.4438753735</v>
      </c>
    </row>
    <row r="939">
      <c r="A939" s="88">
        <v>44690.0</v>
      </c>
      <c r="B939" s="89">
        <v>2086.0</v>
      </c>
      <c r="C939" s="89">
        <v>2.0</v>
      </c>
      <c r="D939" s="87" t="s">
        <v>204</v>
      </c>
      <c r="E939" s="89">
        <v>1.0</v>
      </c>
      <c r="F939" s="89">
        <v>0.221</v>
      </c>
      <c r="G939" s="89">
        <v>0.0978</v>
      </c>
      <c r="H939" s="98"/>
      <c r="I939" s="90">
        <f t="shared" si="1"/>
        <v>1.259713701</v>
      </c>
      <c r="J939" s="81">
        <f t="shared" si="2"/>
        <v>0.4425339367</v>
      </c>
    </row>
    <row r="940">
      <c r="A940" s="88">
        <v>44690.0</v>
      </c>
      <c r="B940" s="89">
        <v>2089.0</v>
      </c>
      <c r="C940" s="89">
        <v>1.0</v>
      </c>
      <c r="D940" s="87" t="s">
        <v>205</v>
      </c>
      <c r="E940" s="89">
        <v>0.0</v>
      </c>
      <c r="F940" s="89">
        <v>1.1533</v>
      </c>
      <c r="G940" s="89">
        <v>0.5086</v>
      </c>
      <c r="H940" s="98"/>
      <c r="I940" s="90">
        <f t="shared" si="1"/>
        <v>1.267597326</v>
      </c>
      <c r="J940" s="81">
        <f t="shared" si="2"/>
        <v>0.4409954045</v>
      </c>
    </row>
    <row r="941">
      <c r="A941" s="88">
        <v>44690.0</v>
      </c>
      <c r="B941" s="89">
        <v>2088.0</v>
      </c>
      <c r="C941" s="89">
        <v>2.0</v>
      </c>
      <c r="D941" s="87" t="s">
        <v>204</v>
      </c>
      <c r="E941" s="89">
        <v>1.0</v>
      </c>
      <c r="F941" s="89">
        <v>0.4012</v>
      </c>
      <c r="G941" s="89">
        <v>0.1769</v>
      </c>
      <c r="H941" s="98"/>
      <c r="I941" s="90">
        <f t="shared" si="1"/>
        <v>1.267947993</v>
      </c>
      <c r="J941" s="81">
        <f t="shared" si="2"/>
        <v>0.4409272183</v>
      </c>
    </row>
    <row r="942">
      <c r="A942" s="88">
        <v>44690.0</v>
      </c>
      <c r="B942" s="89">
        <v>2088.0</v>
      </c>
      <c r="C942" s="89">
        <v>1.0</v>
      </c>
      <c r="D942" s="87" t="s">
        <v>204</v>
      </c>
      <c r="E942" s="89">
        <v>0.0</v>
      </c>
      <c r="F942" s="89">
        <v>0.1365</v>
      </c>
      <c r="G942" s="89">
        <v>0.0598</v>
      </c>
      <c r="H942" s="98"/>
      <c r="I942" s="90">
        <f t="shared" si="1"/>
        <v>1.282608696</v>
      </c>
      <c r="J942" s="81">
        <f t="shared" si="2"/>
        <v>0.4380952381</v>
      </c>
    </row>
    <row r="943">
      <c r="A943" s="88">
        <v>44690.0</v>
      </c>
      <c r="B943" s="89">
        <v>2022.0</v>
      </c>
      <c r="C943" s="89">
        <v>2.0</v>
      </c>
      <c r="D943" s="87" t="s">
        <v>204</v>
      </c>
      <c r="E943" s="89">
        <v>0.0</v>
      </c>
      <c r="F943" s="89">
        <v>0.1733</v>
      </c>
      <c r="G943" s="89">
        <v>0.0756</v>
      </c>
      <c r="H943" s="98"/>
      <c r="I943" s="90">
        <f t="shared" si="1"/>
        <v>1.292328042</v>
      </c>
      <c r="J943" s="81">
        <f t="shared" si="2"/>
        <v>0.436237738</v>
      </c>
    </row>
    <row r="944">
      <c r="A944" s="88">
        <v>44690.0</v>
      </c>
      <c r="B944" s="89">
        <v>2015.0</v>
      </c>
      <c r="C944" s="89">
        <v>3.0</v>
      </c>
      <c r="D944" s="87" t="s">
        <v>204</v>
      </c>
      <c r="E944" s="89">
        <v>0.0</v>
      </c>
      <c r="F944" s="89">
        <v>0.1287</v>
      </c>
      <c r="G944" s="89">
        <v>0.056</v>
      </c>
      <c r="H944" s="98"/>
      <c r="I944" s="90">
        <f t="shared" si="1"/>
        <v>1.298214286</v>
      </c>
      <c r="J944" s="81">
        <f t="shared" si="2"/>
        <v>0.4351204351</v>
      </c>
    </row>
    <row r="945">
      <c r="A945" s="88">
        <v>44690.0</v>
      </c>
      <c r="B945" s="89">
        <v>2021.0</v>
      </c>
      <c r="C945" s="89">
        <v>3.0</v>
      </c>
      <c r="D945" s="87" t="s">
        <v>204</v>
      </c>
      <c r="E945" s="89">
        <v>0.0</v>
      </c>
      <c r="F945" s="89">
        <v>0.1252</v>
      </c>
      <c r="G945" s="89">
        <v>0.0543</v>
      </c>
      <c r="H945" s="98"/>
      <c r="I945" s="90">
        <f t="shared" si="1"/>
        <v>1.305709024</v>
      </c>
      <c r="J945" s="81">
        <f t="shared" si="2"/>
        <v>0.4337060703</v>
      </c>
    </row>
    <row r="946">
      <c r="A946" s="88">
        <v>44690.0</v>
      </c>
      <c r="B946" s="89">
        <v>2026.0</v>
      </c>
      <c r="C946" s="89">
        <v>3.0</v>
      </c>
      <c r="D946" s="87" t="s">
        <v>204</v>
      </c>
      <c r="E946" s="89">
        <v>0.0</v>
      </c>
      <c r="F946" s="89">
        <v>0.181</v>
      </c>
      <c r="G946" s="89">
        <v>0.0785</v>
      </c>
      <c r="H946" s="98"/>
      <c r="I946" s="90">
        <f t="shared" si="1"/>
        <v>1.305732484</v>
      </c>
      <c r="J946" s="81">
        <f t="shared" si="2"/>
        <v>0.4337016575</v>
      </c>
    </row>
    <row r="947">
      <c r="A947" s="88">
        <v>44690.0</v>
      </c>
      <c r="B947" s="89">
        <v>1475.0</v>
      </c>
      <c r="C947" s="89">
        <v>1.0</v>
      </c>
      <c r="D947" s="87" t="s">
        <v>204</v>
      </c>
      <c r="E947" s="89">
        <v>1.0</v>
      </c>
      <c r="F947" s="89">
        <v>0.3757</v>
      </c>
      <c r="G947" s="89">
        <v>0.1623</v>
      </c>
      <c r="H947" s="98"/>
      <c r="I947" s="90">
        <f t="shared" si="1"/>
        <v>1.314849045</v>
      </c>
      <c r="J947" s="81">
        <f t="shared" si="2"/>
        <v>0.4319936119</v>
      </c>
    </row>
    <row r="948">
      <c r="A948" s="88">
        <v>44690.0</v>
      </c>
      <c r="B948" s="89">
        <v>2086.0</v>
      </c>
      <c r="C948" s="89">
        <v>1.0</v>
      </c>
      <c r="D948" s="87" t="s">
        <v>204</v>
      </c>
      <c r="E948" s="89">
        <v>1.0</v>
      </c>
      <c r="F948" s="89">
        <v>0.3808</v>
      </c>
      <c r="G948" s="89">
        <v>0.1642</v>
      </c>
      <c r="H948" s="98"/>
      <c r="I948" s="90">
        <f t="shared" si="1"/>
        <v>1.319123021</v>
      </c>
      <c r="J948" s="81">
        <f t="shared" si="2"/>
        <v>0.431197479</v>
      </c>
    </row>
    <row r="949">
      <c r="A949" s="88">
        <v>44690.0</v>
      </c>
      <c r="B949" s="89">
        <v>2092.0</v>
      </c>
      <c r="C949" s="89">
        <v>2.0</v>
      </c>
      <c r="D949" s="87" t="s">
        <v>204</v>
      </c>
      <c r="E949" s="89">
        <v>0.0</v>
      </c>
      <c r="F949" s="89">
        <v>0.0186</v>
      </c>
      <c r="G949" s="89">
        <v>0.008</v>
      </c>
      <c r="H949" s="98"/>
      <c r="I949" s="90">
        <f t="shared" si="1"/>
        <v>1.325</v>
      </c>
      <c r="J949" s="81">
        <f t="shared" si="2"/>
        <v>0.4301075269</v>
      </c>
    </row>
    <row r="950">
      <c r="A950" s="88">
        <v>44690.0</v>
      </c>
      <c r="B950" s="89">
        <v>2089.0</v>
      </c>
      <c r="C950" s="89">
        <v>1.0</v>
      </c>
      <c r="D950" s="87" t="s">
        <v>204</v>
      </c>
      <c r="E950" s="89">
        <v>1.0</v>
      </c>
      <c r="F950" s="89">
        <v>0.1333</v>
      </c>
      <c r="G950" s="89">
        <v>0.0573</v>
      </c>
      <c r="H950" s="98"/>
      <c r="I950" s="90">
        <f t="shared" si="1"/>
        <v>1.326352531</v>
      </c>
      <c r="J950" s="81">
        <f t="shared" si="2"/>
        <v>0.4298574644</v>
      </c>
    </row>
    <row r="951">
      <c r="A951" s="88">
        <v>44690.0</v>
      </c>
      <c r="B951" s="89">
        <v>2085.0</v>
      </c>
      <c r="C951" s="89">
        <v>2.0</v>
      </c>
      <c r="D951" s="87" t="s">
        <v>204</v>
      </c>
      <c r="E951" s="89">
        <v>0.0</v>
      </c>
      <c r="F951" s="89">
        <v>0.0978</v>
      </c>
      <c r="G951" s="89">
        <v>0.0419</v>
      </c>
      <c r="H951" s="98"/>
      <c r="I951" s="90">
        <f t="shared" si="1"/>
        <v>1.334128878</v>
      </c>
      <c r="J951" s="81">
        <f t="shared" si="2"/>
        <v>0.4284253579</v>
      </c>
    </row>
    <row r="952">
      <c r="A952" s="88">
        <v>44690.0</v>
      </c>
      <c r="B952" s="89">
        <v>2088.0</v>
      </c>
      <c r="C952" s="89">
        <v>3.0</v>
      </c>
      <c r="D952" s="87" t="s">
        <v>204</v>
      </c>
      <c r="E952" s="89">
        <v>0.0</v>
      </c>
      <c r="F952" s="89">
        <v>0.0733</v>
      </c>
      <c r="G952" s="89">
        <v>0.0314</v>
      </c>
      <c r="H952" s="98"/>
      <c r="I952" s="90">
        <f t="shared" si="1"/>
        <v>1.334394904</v>
      </c>
      <c r="J952" s="81">
        <f t="shared" si="2"/>
        <v>0.4283765348</v>
      </c>
    </row>
    <row r="953">
      <c r="A953" s="88">
        <v>44690.0</v>
      </c>
      <c r="B953" s="89">
        <v>2091.0</v>
      </c>
      <c r="C953" s="89">
        <v>1.0</v>
      </c>
      <c r="D953" s="87" t="s">
        <v>204</v>
      </c>
      <c r="E953" s="89">
        <v>0.0</v>
      </c>
      <c r="F953" s="89">
        <v>0.1837</v>
      </c>
      <c r="G953" s="89">
        <v>0.078</v>
      </c>
      <c r="H953" s="98"/>
      <c r="I953" s="90">
        <f t="shared" si="1"/>
        <v>1.355128205</v>
      </c>
      <c r="J953" s="81">
        <f t="shared" si="2"/>
        <v>0.4246053348</v>
      </c>
    </row>
    <row r="954">
      <c r="A954" s="88">
        <v>44690.0</v>
      </c>
      <c r="B954" s="89">
        <v>2020.0</v>
      </c>
      <c r="C954" s="89">
        <v>2.0</v>
      </c>
      <c r="D954" s="87" t="s">
        <v>204</v>
      </c>
      <c r="E954" s="89">
        <v>0.0</v>
      </c>
      <c r="F954" s="89">
        <v>0.2522</v>
      </c>
      <c r="G954" s="89">
        <v>0.107</v>
      </c>
      <c r="H954" s="98"/>
      <c r="I954" s="90">
        <f t="shared" si="1"/>
        <v>1.357009346</v>
      </c>
      <c r="J954" s="81">
        <f t="shared" si="2"/>
        <v>0.4242664552</v>
      </c>
    </row>
    <row r="955">
      <c r="A955" s="88">
        <v>44690.0</v>
      </c>
      <c r="B955" s="89">
        <v>2024.0</v>
      </c>
      <c r="C955" s="89">
        <v>2.0</v>
      </c>
      <c r="D955" s="87" t="s">
        <v>204</v>
      </c>
      <c r="E955" s="89">
        <v>0.0</v>
      </c>
      <c r="F955" s="89">
        <v>0.1233</v>
      </c>
      <c r="G955" s="89">
        <v>0.0523</v>
      </c>
      <c r="H955" s="98"/>
      <c r="I955" s="90">
        <f t="shared" si="1"/>
        <v>1.357552581</v>
      </c>
      <c r="J955" s="81">
        <f t="shared" si="2"/>
        <v>0.4241686942</v>
      </c>
    </row>
    <row r="956">
      <c r="A956" s="88">
        <v>44690.0</v>
      </c>
      <c r="B956" s="89">
        <v>2006.0</v>
      </c>
      <c r="C956" s="89">
        <v>2.0</v>
      </c>
      <c r="D956" s="87" t="s">
        <v>204</v>
      </c>
      <c r="E956" s="89">
        <v>0.0</v>
      </c>
      <c r="F956" s="89">
        <v>0.1299</v>
      </c>
      <c r="G956" s="89">
        <v>0.055</v>
      </c>
      <c r="H956" s="98"/>
      <c r="I956" s="90">
        <f t="shared" si="1"/>
        <v>1.361818182</v>
      </c>
      <c r="J956" s="81">
        <f t="shared" si="2"/>
        <v>0.4234026174</v>
      </c>
    </row>
    <row r="957">
      <c r="A957" s="88">
        <v>44690.0</v>
      </c>
      <c r="B957" s="89">
        <v>2004.0</v>
      </c>
      <c r="C957" s="89">
        <v>1.0</v>
      </c>
      <c r="D957" s="87" t="s">
        <v>204</v>
      </c>
      <c r="E957" s="89">
        <v>0.0</v>
      </c>
      <c r="F957" s="89">
        <v>0.4704</v>
      </c>
      <c r="G957" s="89">
        <v>0.1987</v>
      </c>
      <c r="H957" s="98"/>
      <c r="I957" s="90">
        <f t="shared" si="1"/>
        <v>1.367388022</v>
      </c>
      <c r="J957" s="81">
        <f t="shared" si="2"/>
        <v>0.4224064626</v>
      </c>
    </row>
    <row r="958">
      <c r="A958" s="88">
        <v>44690.0</v>
      </c>
      <c r="B958" s="89">
        <v>2025.0</v>
      </c>
      <c r="C958" s="89">
        <v>2.0</v>
      </c>
      <c r="D958" s="87" t="s">
        <v>204</v>
      </c>
      <c r="E958" s="89">
        <v>0.0</v>
      </c>
      <c r="F958" s="89">
        <v>0.1397</v>
      </c>
      <c r="G958" s="89">
        <v>0.059</v>
      </c>
      <c r="H958" s="98"/>
      <c r="I958" s="90">
        <f t="shared" si="1"/>
        <v>1.36779661</v>
      </c>
      <c r="J958" s="81">
        <f t="shared" si="2"/>
        <v>0.4223335719</v>
      </c>
    </row>
    <row r="959">
      <c r="A959" s="88">
        <v>44690.0</v>
      </c>
      <c r="B959" s="89">
        <v>2004.0</v>
      </c>
      <c r="C959" s="89">
        <v>2.0</v>
      </c>
      <c r="D959" s="87" t="s">
        <v>204</v>
      </c>
      <c r="E959" s="89">
        <v>0.0</v>
      </c>
      <c r="F959" s="89">
        <v>0.328</v>
      </c>
      <c r="G959" s="89">
        <v>0.1378</v>
      </c>
      <c r="H959" s="98"/>
      <c r="I959" s="90">
        <f t="shared" si="1"/>
        <v>1.380261248</v>
      </c>
      <c r="J959" s="81">
        <f t="shared" si="2"/>
        <v>0.4201219512</v>
      </c>
    </row>
    <row r="960">
      <c r="A960" s="88">
        <v>44690.0</v>
      </c>
      <c r="B960" s="89">
        <v>2004.0</v>
      </c>
      <c r="C960" s="89">
        <v>3.0</v>
      </c>
      <c r="D960" s="87" t="s">
        <v>204</v>
      </c>
      <c r="E960" s="89">
        <v>0.0</v>
      </c>
      <c r="F960" s="89">
        <v>0.1859</v>
      </c>
      <c r="G960" s="89">
        <v>0.0779</v>
      </c>
      <c r="H960" s="98"/>
      <c r="I960" s="90">
        <f t="shared" si="1"/>
        <v>1.386392811</v>
      </c>
      <c r="J960" s="81">
        <f t="shared" si="2"/>
        <v>0.419042496</v>
      </c>
    </row>
    <row r="961">
      <c r="A961" s="88">
        <v>44690.0</v>
      </c>
      <c r="B961" s="89">
        <v>2085.0</v>
      </c>
      <c r="C961" s="89">
        <v>1.0</v>
      </c>
      <c r="D961" s="87" t="s">
        <v>204</v>
      </c>
      <c r="E961" s="89">
        <v>0.0</v>
      </c>
      <c r="F961" s="89">
        <v>0.1888</v>
      </c>
      <c r="G961" s="89">
        <v>0.0789</v>
      </c>
      <c r="H961" s="98"/>
      <c r="I961" s="90">
        <f t="shared" si="1"/>
        <v>1.392902408</v>
      </c>
      <c r="J961" s="81">
        <f t="shared" si="2"/>
        <v>0.4179025424</v>
      </c>
    </row>
    <row r="962">
      <c r="A962" s="88">
        <v>44690.0</v>
      </c>
      <c r="B962" s="89">
        <v>2090.0</v>
      </c>
      <c r="C962" s="89">
        <v>2.0</v>
      </c>
      <c r="D962" s="87" t="s">
        <v>204</v>
      </c>
      <c r="E962" s="89">
        <v>0.0</v>
      </c>
      <c r="F962" s="89">
        <v>0.0467</v>
      </c>
      <c r="G962" s="89">
        <v>0.0195</v>
      </c>
      <c r="H962" s="98"/>
      <c r="I962" s="90">
        <f t="shared" si="1"/>
        <v>1.394871795</v>
      </c>
      <c r="J962" s="81">
        <f t="shared" si="2"/>
        <v>0.4175588865</v>
      </c>
    </row>
    <row r="963">
      <c r="A963" s="88">
        <v>44690.0</v>
      </c>
      <c r="B963" s="89">
        <v>2012.0</v>
      </c>
      <c r="C963" s="89">
        <v>2.0</v>
      </c>
      <c r="D963" s="87" t="s">
        <v>204</v>
      </c>
      <c r="E963" s="89">
        <v>0.0</v>
      </c>
      <c r="F963" s="89">
        <v>0.1198</v>
      </c>
      <c r="G963" s="89">
        <v>0.05</v>
      </c>
      <c r="H963" s="98"/>
      <c r="I963" s="90">
        <f t="shared" si="1"/>
        <v>1.396</v>
      </c>
      <c r="J963" s="81">
        <f t="shared" si="2"/>
        <v>0.4173622705</v>
      </c>
    </row>
    <row r="964">
      <c r="A964" s="88">
        <v>44690.0</v>
      </c>
      <c r="B964" s="89">
        <v>2093.0</v>
      </c>
      <c r="C964" s="89">
        <v>2.0</v>
      </c>
      <c r="D964" s="87" t="s">
        <v>204</v>
      </c>
      <c r="E964" s="89">
        <v>0.0</v>
      </c>
      <c r="F964" s="89">
        <v>0.2001</v>
      </c>
      <c r="G964" s="89">
        <v>0.0835</v>
      </c>
      <c r="H964" s="98"/>
      <c r="I964" s="90">
        <f t="shared" si="1"/>
        <v>1.396407186</v>
      </c>
      <c r="J964" s="81">
        <f t="shared" si="2"/>
        <v>0.4172913543</v>
      </c>
    </row>
    <row r="965">
      <c r="A965" s="88">
        <v>44690.0</v>
      </c>
      <c r="B965" s="89">
        <v>2007.0</v>
      </c>
      <c r="C965" s="89">
        <v>1.0</v>
      </c>
      <c r="D965" s="87" t="s">
        <v>204</v>
      </c>
      <c r="E965" s="89">
        <v>0.0</v>
      </c>
      <c r="F965" s="89">
        <v>0.0909</v>
      </c>
      <c r="G965" s="89">
        <v>0.0378</v>
      </c>
      <c r="H965" s="98"/>
      <c r="I965" s="90">
        <f t="shared" si="1"/>
        <v>1.404761905</v>
      </c>
      <c r="J965" s="81">
        <f t="shared" si="2"/>
        <v>0.4158415842</v>
      </c>
    </row>
    <row r="966">
      <c r="A966" s="88">
        <v>44690.0</v>
      </c>
      <c r="B966" s="89">
        <v>2090.0</v>
      </c>
      <c r="C966" s="89">
        <v>3.0</v>
      </c>
      <c r="D966" s="87" t="s">
        <v>204</v>
      </c>
      <c r="E966" s="89">
        <v>0.0</v>
      </c>
      <c r="F966" s="89">
        <v>0.1127</v>
      </c>
      <c r="G966" s="89">
        <v>0.0468</v>
      </c>
      <c r="H966" s="98"/>
      <c r="I966" s="90">
        <f t="shared" si="1"/>
        <v>1.408119658</v>
      </c>
      <c r="J966" s="81">
        <f t="shared" si="2"/>
        <v>0.4152617569</v>
      </c>
    </row>
    <row r="967">
      <c r="A967" s="88">
        <v>44690.0</v>
      </c>
      <c r="B967" s="89">
        <v>2090.0</v>
      </c>
      <c r="C967" s="89">
        <v>1.0</v>
      </c>
      <c r="D967" s="87" t="s">
        <v>204</v>
      </c>
      <c r="E967" s="89">
        <v>0.0</v>
      </c>
      <c r="F967" s="89">
        <v>0.0828</v>
      </c>
      <c r="G967" s="89">
        <v>0.0343</v>
      </c>
      <c r="H967" s="98"/>
      <c r="I967" s="90">
        <f t="shared" si="1"/>
        <v>1.413994169</v>
      </c>
      <c r="J967" s="81">
        <f t="shared" si="2"/>
        <v>0.4142512077</v>
      </c>
    </row>
    <row r="968">
      <c r="A968" s="88">
        <v>44690.0</v>
      </c>
      <c r="B968" s="89">
        <v>2013.0</v>
      </c>
      <c r="C968" s="89">
        <v>2.0</v>
      </c>
      <c r="D968" s="87" t="s">
        <v>204</v>
      </c>
      <c r="E968" s="89">
        <v>0.0</v>
      </c>
      <c r="F968" s="89">
        <v>0.1841</v>
      </c>
      <c r="G968" s="89">
        <v>0.076</v>
      </c>
      <c r="H968" s="98"/>
      <c r="I968" s="90">
        <f t="shared" si="1"/>
        <v>1.422368421</v>
      </c>
      <c r="J968" s="81">
        <f t="shared" si="2"/>
        <v>0.41281912</v>
      </c>
    </row>
    <row r="969">
      <c r="A969" s="88">
        <v>44690.0</v>
      </c>
      <c r="B969" s="89">
        <v>2006.0</v>
      </c>
      <c r="C969" s="89">
        <v>1.0</v>
      </c>
      <c r="D969" s="87" t="s">
        <v>204</v>
      </c>
      <c r="E969" s="89">
        <v>0.0</v>
      </c>
      <c r="F969" s="89">
        <v>0.0795</v>
      </c>
      <c r="G969" s="89">
        <v>0.0328</v>
      </c>
      <c r="H969" s="98"/>
      <c r="I969" s="90">
        <f t="shared" si="1"/>
        <v>1.423780488</v>
      </c>
      <c r="J969" s="81">
        <f t="shared" si="2"/>
        <v>0.4125786164</v>
      </c>
    </row>
    <row r="970">
      <c r="A970" s="88">
        <v>44690.0</v>
      </c>
      <c r="B970" s="89">
        <v>2015.0</v>
      </c>
      <c r="C970" s="89">
        <v>2.0</v>
      </c>
      <c r="D970" s="87" t="s">
        <v>204</v>
      </c>
      <c r="E970" s="89">
        <v>0.0</v>
      </c>
      <c r="F970" s="89">
        <v>0.31658</v>
      </c>
      <c r="G970" s="89">
        <v>0.1306</v>
      </c>
      <c r="H970" s="98"/>
      <c r="I970" s="90">
        <f t="shared" si="1"/>
        <v>1.424042879</v>
      </c>
      <c r="J970" s="81">
        <f t="shared" si="2"/>
        <v>0.4125339567</v>
      </c>
    </row>
    <row r="971">
      <c r="A971" s="88">
        <v>44690.0</v>
      </c>
      <c r="B971" s="89">
        <v>2093.0</v>
      </c>
      <c r="C971" s="89">
        <v>1.0</v>
      </c>
      <c r="D971" s="87" t="s">
        <v>204</v>
      </c>
      <c r="E971" s="89">
        <v>0.0</v>
      </c>
      <c r="F971" s="89">
        <v>0.1758</v>
      </c>
      <c r="G971" s="89">
        <v>0.072</v>
      </c>
      <c r="H971" s="98"/>
      <c r="I971" s="90">
        <f t="shared" si="1"/>
        <v>1.441666667</v>
      </c>
      <c r="J971" s="81">
        <f t="shared" si="2"/>
        <v>0.409556314</v>
      </c>
    </row>
    <row r="972">
      <c r="A972" s="88">
        <v>44690.0</v>
      </c>
      <c r="B972" s="89">
        <v>2093.0</v>
      </c>
      <c r="C972" s="89">
        <v>3.0</v>
      </c>
      <c r="D972" s="87" t="s">
        <v>204</v>
      </c>
      <c r="E972" s="89">
        <v>0.0</v>
      </c>
      <c r="F972" s="89">
        <v>0.1678</v>
      </c>
      <c r="G972" s="89">
        <v>0.0684</v>
      </c>
      <c r="H972" s="98"/>
      <c r="I972" s="90">
        <f t="shared" si="1"/>
        <v>1.453216374</v>
      </c>
      <c r="J972" s="81">
        <f t="shared" si="2"/>
        <v>0.4076281287</v>
      </c>
    </row>
    <row r="973">
      <c r="A973" s="88">
        <v>44690.0</v>
      </c>
      <c r="B973" s="89">
        <v>2013.0</v>
      </c>
      <c r="C973" s="89">
        <v>3.0</v>
      </c>
      <c r="D973" s="87" t="s">
        <v>204</v>
      </c>
      <c r="E973" s="89">
        <v>0.0</v>
      </c>
      <c r="F973" s="89">
        <v>0.2413</v>
      </c>
      <c r="G973" s="89">
        <v>0.098</v>
      </c>
      <c r="H973" s="98"/>
      <c r="I973" s="90">
        <f t="shared" si="1"/>
        <v>1.462244898</v>
      </c>
      <c r="J973" s="81">
        <f t="shared" si="2"/>
        <v>0.4061334438</v>
      </c>
    </row>
    <row r="974">
      <c r="A974" s="88">
        <v>44690.0</v>
      </c>
      <c r="B974" s="89">
        <v>2012.0</v>
      </c>
      <c r="C974" s="89">
        <v>3.0</v>
      </c>
      <c r="D974" s="87" t="s">
        <v>204</v>
      </c>
      <c r="E974" s="89">
        <v>0.0</v>
      </c>
      <c r="F974" s="89">
        <v>0.0671</v>
      </c>
      <c r="G974" s="89">
        <v>0.0272</v>
      </c>
      <c r="H974" s="98"/>
      <c r="I974" s="90">
        <f t="shared" si="1"/>
        <v>1.466911765</v>
      </c>
      <c r="J974" s="81">
        <f t="shared" si="2"/>
        <v>0.4053651267</v>
      </c>
    </row>
    <row r="975">
      <c r="A975" s="88">
        <v>44690.0</v>
      </c>
      <c r="B975" s="89">
        <v>2087.0</v>
      </c>
      <c r="C975" s="89">
        <v>1.0</v>
      </c>
      <c r="D975" s="87" t="s">
        <v>204</v>
      </c>
      <c r="E975" s="89">
        <v>0.0</v>
      </c>
      <c r="F975" s="89">
        <v>0.2863</v>
      </c>
      <c r="G975" s="89">
        <v>0.1156</v>
      </c>
      <c r="H975" s="98"/>
      <c r="I975" s="90">
        <f t="shared" si="1"/>
        <v>1.476643599</v>
      </c>
      <c r="J975" s="81">
        <f t="shared" si="2"/>
        <v>0.4037722669</v>
      </c>
    </row>
    <row r="976">
      <c r="A976" s="88">
        <v>44690.0</v>
      </c>
      <c r="B976" s="89">
        <v>2086.0</v>
      </c>
      <c r="C976" s="89">
        <v>1.0</v>
      </c>
      <c r="D976" s="87" t="s">
        <v>204</v>
      </c>
      <c r="E976" s="89">
        <v>0.0</v>
      </c>
      <c r="F976" s="89">
        <v>0.436</v>
      </c>
      <c r="G976" s="89">
        <v>0.1757</v>
      </c>
      <c r="H976" s="98"/>
      <c r="I976" s="90">
        <f t="shared" si="1"/>
        <v>1.481502561</v>
      </c>
      <c r="J976" s="81">
        <f t="shared" si="2"/>
        <v>0.4029816514</v>
      </c>
    </row>
    <row r="977">
      <c r="A977" s="88">
        <v>44690.0</v>
      </c>
      <c r="B977" s="89">
        <v>2086.0</v>
      </c>
      <c r="C977" s="89">
        <v>2.0</v>
      </c>
      <c r="D977" s="87" t="s">
        <v>204</v>
      </c>
      <c r="E977" s="89">
        <v>0.0</v>
      </c>
      <c r="F977" s="89">
        <v>0.5771</v>
      </c>
      <c r="G977" s="89">
        <v>0.2319</v>
      </c>
      <c r="H977" s="98"/>
      <c r="I977" s="90">
        <f t="shared" si="1"/>
        <v>1.488572661</v>
      </c>
      <c r="J977" s="81">
        <f t="shared" si="2"/>
        <v>0.4018367701</v>
      </c>
    </row>
    <row r="978">
      <c r="A978" s="88">
        <v>44690.0</v>
      </c>
      <c r="B978" s="89">
        <v>2091.0</v>
      </c>
      <c r="C978" s="89">
        <v>3.0</v>
      </c>
      <c r="D978" s="87" t="s">
        <v>204</v>
      </c>
      <c r="E978" s="89">
        <v>0.0</v>
      </c>
      <c r="F978" s="89">
        <v>0.178</v>
      </c>
      <c r="G978" s="89">
        <v>0.071</v>
      </c>
      <c r="H978" s="98"/>
      <c r="I978" s="90">
        <f t="shared" si="1"/>
        <v>1.507042254</v>
      </c>
      <c r="J978" s="81">
        <f t="shared" si="2"/>
        <v>0.3988764045</v>
      </c>
    </row>
    <row r="979">
      <c r="A979" s="88">
        <v>44690.0</v>
      </c>
      <c r="B979" s="89">
        <v>2023.0</v>
      </c>
      <c r="C979" s="89">
        <v>1.0</v>
      </c>
      <c r="D979" s="87" t="s">
        <v>204</v>
      </c>
      <c r="E979" s="89">
        <v>0.0</v>
      </c>
      <c r="F979" s="89">
        <v>0.0782</v>
      </c>
      <c r="G979" s="89">
        <v>0.031</v>
      </c>
      <c r="H979" s="98"/>
      <c r="I979" s="90">
        <f t="shared" si="1"/>
        <v>1.522580645</v>
      </c>
      <c r="J979" s="81">
        <f t="shared" si="2"/>
        <v>0.3964194373</v>
      </c>
    </row>
    <row r="980">
      <c r="A980" s="88">
        <v>44690.0</v>
      </c>
      <c r="B980" s="89">
        <v>2089.0</v>
      </c>
      <c r="C980" s="89">
        <v>1.0</v>
      </c>
      <c r="D980" s="87" t="s">
        <v>204</v>
      </c>
      <c r="E980" s="89">
        <v>0.0</v>
      </c>
      <c r="F980" s="89">
        <v>0.0844</v>
      </c>
      <c r="G980" s="89">
        <v>0.0334</v>
      </c>
      <c r="H980" s="98"/>
      <c r="I980" s="90">
        <f t="shared" si="1"/>
        <v>1.526946108</v>
      </c>
      <c r="J980" s="81">
        <f t="shared" si="2"/>
        <v>0.3957345972</v>
      </c>
    </row>
    <row r="981">
      <c r="A981" s="88">
        <v>44690.0</v>
      </c>
      <c r="B981" s="89">
        <v>2087.0</v>
      </c>
      <c r="C981" s="89">
        <v>2.0</v>
      </c>
      <c r="D981" s="87" t="s">
        <v>204</v>
      </c>
      <c r="E981" s="89">
        <v>0.0</v>
      </c>
      <c r="F981" s="89">
        <v>0.2727</v>
      </c>
      <c r="G981" s="89">
        <v>0.1076</v>
      </c>
      <c r="H981" s="98"/>
      <c r="I981" s="90">
        <f t="shared" si="1"/>
        <v>1.534386617</v>
      </c>
      <c r="J981" s="81">
        <f t="shared" si="2"/>
        <v>0.3945727906</v>
      </c>
    </row>
    <row r="982">
      <c r="A982" s="88">
        <v>44690.0</v>
      </c>
      <c r="B982" s="89">
        <v>1475.0</v>
      </c>
      <c r="C982" s="89">
        <v>3.0</v>
      </c>
      <c r="D982" s="87" t="s">
        <v>204</v>
      </c>
      <c r="E982" s="89">
        <v>0.0</v>
      </c>
      <c r="F982" s="89">
        <v>0.4273</v>
      </c>
      <c r="G982" s="89">
        <v>0.1677</v>
      </c>
      <c r="H982" s="98"/>
      <c r="I982" s="90">
        <f t="shared" si="1"/>
        <v>1.548002385</v>
      </c>
      <c r="J982" s="81">
        <f t="shared" si="2"/>
        <v>0.3924643108</v>
      </c>
    </row>
    <row r="983">
      <c r="A983" s="88">
        <v>44690.0</v>
      </c>
      <c r="B983" s="89">
        <v>2031.0</v>
      </c>
      <c r="C983" s="89">
        <v>2.0</v>
      </c>
      <c r="D983" s="87" t="s">
        <v>204</v>
      </c>
      <c r="E983" s="89">
        <v>0.0</v>
      </c>
      <c r="F983" s="89">
        <v>0.2512</v>
      </c>
      <c r="G983" s="89">
        <v>0.096</v>
      </c>
      <c r="H983" s="98"/>
      <c r="I983" s="90">
        <f t="shared" si="1"/>
        <v>1.616666667</v>
      </c>
      <c r="J983" s="81">
        <f t="shared" si="2"/>
        <v>0.3821656051</v>
      </c>
    </row>
    <row r="984">
      <c r="A984" s="88">
        <v>44690.0</v>
      </c>
      <c r="B984" s="89">
        <v>1475.0</v>
      </c>
      <c r="C984" s="89">
        <v>2.0</v>
      </c>
      <c r="D984" s="87" t="s">
        <v>204</v>
      </c>
      <c r="E984" s="89">
        <v>0.0</v>
      </c>
      <c r="F984" s="89">
        <v>0.2076</v>
      </c>
      <c r="G984" s="89">
        <v>0.0793</v>
      </c>
      <c r="H984" s="98"/>
      <c r="I984" s="90">
        <f t="shared" si="1"/>
        <v>1.617906683</v>
      </c>
      <c r="J984" s="81">
        <f t="shared" si="2"/>
        <v>0.3819845857</v>
      </c>
    </row>
    <row r="985">
      <c r="A985" s="88">
        <v>44690.0</v>
      </c>
      <c r="B985" s="89">
        <v>2086.0</v>
      </c>
      <c r="C985" s="89">
        <v>3.0</v>
      </c>
      <c r="D985" s="87" t="s">
        <v>204</v>
      </c>
      <c r="E985" s="89">
        <v>0.0</v>
      </c>
      <c r="F985" s="89">
        <v>0.1511</v>
      </c>
      <c r="G985" s="89">
        <v>0.0577</v>
      </c>
      <c r="H985" s="98"/>
      <c r="I985" s="90">
        <f t="shared" si="1"/>
        <v>1.618717504</v>
      </c>
      <c r="J985" s="81">
        <f t="shared" si="2"/>
        <v>0.3818663137</v>
      </c>
    </row>
    <row r="986">
      <c r="A986" s="88">
        <v>44690.0</v>
      </c>
      <c r="B986" s="89">
        <v>2022.0</v>
      </c>
      <c r="C986" s="89">
        <v>3.0</v>
      </c>
      <c r="D986" s="87" t="s">
        <v>204</v>
      </c>
      <c r="E986" s="89">
        <v>0.0</v>
      </c>
      <c r="F986" s="89">
        <v>0.0333</v>
      </c>
      <c r="G986" s="89">
        <v>0.0125</v>
      </c>
      <c r="H986" s="98"/>
      <c r="I986" s="90">
        <f t="shared" si="1"/>
        <v>1.664</v>
      </c>
      <c r="J986" s="81">
        <f t="shared" si="2"/>
        <v>0.3753753754</v>
      </c>
    </row>
    <row r="987">
      <c r="A987" s="88">
        <v>44690.0</v>
      </c>
      <c r="B987" s="89">
        <v>2087.0</v>
      </c>
      <c r="C987" s="89">
        <v>3.0</v>
      </c>
      <c r="D987" s="87" t="s">
        <v>204</v>
      </c>
      <c r="E987" s="89">
        <v>0.0</v>
      </c>
      <c r="F987" s="89">
        <v>0.5559</v>
      </c>
      <c r="G987" s="99">
        <v>0.208</v>
      </c>
      <c r="H987" s="98"/>
      <c r="I987" s="90">
        <f t="shared" si="1"/>
        <v>1.672596154</v>
      </c>
      <c r="J987" s="81">
        <f t="shared" si="2"/>
        <v>0.3741680158</v>
      </c>
    </row>
    <row r="988">
      <c r="A988" s="88">
        <v>44690.0</v>
      </c>
      <c r="B988" s="89">
        <v>1475.0</v>
      </c>
      <c r="C988" s="89">
        <v>1.0</v>
      </c>
      <c r="D988" s="87" t="s">
        <v>204</v>
      </c>
      <c r="E988" s="89">
        <v>0.0</v>
      </c>
      <c r="F988" s="89">
        <v>0.0823</v>
      </c>
      <c r="G988" s="89">
        <v>0.0303</v>
      </c>
      <c r="H988" s="98"/>
      <c r="I988" s="90">
        <f t="shared" si="1"/>
        <v>1.716171617</v>
      </c>
      <c r="J988" s="81">
        <f t="shared" si="2"/>
        <v>0.3681652491</v>
      </c>
    </row>
    <row r="989">
      <c r="A989" s="88">
        <v>44690.0</v>
      </c>
      <c r="B989" s="89">
        <v>2090.0</v>
      </c>
      <c r="C989" s="89">
        <v>1.0</v>
      </c>
      <c r="D989" s="87" t="s">
        <v>204</v>
      </c>
      <c r="E989" s="89">
        <v>1.0</v>
      </c>
      <c r="F989" s="89">
        <v>0.1676</v>
      </c>
      <c r="G989" s="99">
        <v>0.053</v>
      </c>
      <c r="H989" s="98"/>
      <c r="I989" s="90">
        <f t="shared" si="1"/>
        <v>2.162264151</v>
      </c>
      <c r="J989" s="81">
        <f t="shared" si="2"/>
        <v>0.3162291169</v>
      </c>
    </row>
    <row r="990">
      <c r="A990" s="88">
        <v>44690.0</v>
      </c>
      <c r="B990" s="89">
        <v>2030.0</v>
      </c>
      <c r="C990" s="89">
        <v>2.0</v>
      </c>
      <c r="D990" s="87" t="s">
        <v>204</v>
      </c>
      <c r="E990" s="89">
        <v>1.0</v>
      </c>
      <c r="F990" s="89">
        <v>0.6005</v>
      </c>
      <c r="G990" s="89">
        <v>0.144</v>
      </c>
      <c r="H990" s="98"/>
      <c r="I990" s="90">
        <f t="shared" si="1"/>
        <v>3.170138889</v>
      </c>
      <c r="J990" s="81">
        <f t="shared" si="2"/>
        <v>0.2398001665</v>
      </c>
      <c r="K990" s="66">
        <v>1.0</v>
      </c>
    </row>
    <row r="991">
      <c r="A991" s="88">
        <v>44690.0</v>
      </c>
      <c r="B991" s="89">
        <v>2021.0</v>
      </c>
      <c r="C991" s="89">
        <v>2.0</v>
      </c>
      <c r="D991" s="87" t="s">
        <v>204</v>
      </c>
      <c r="E991" s="89">
        <v>0.0</v>
      </c>
      <c r="F991" s="89">
        <v>0.0878</v>
      </c>
      <c r="G991" s="99">
        <v>0.02</v>
      </c>
      <c r="H991" s="98"/>
      <c r="I991" s="90">
        <f t="shared" si="1"/>
        <v>3.39</v>
      </c>
      <c r="J991" s="81">
        <f t="shared" si="2"/>
        <v>0.2277904328</v>
      </c>
      <c r="K991" s="66">
        <v>1.0</v>
      </c>
    </row>
    <row r="992">
      <c r="A992" s="88">
        <v>44690.0</v>
      </c>
      <c r="B992" s="89">
        <v>2005.0</v>
      </c>
      <c r="C992" s="89">
        <v>1.0</v>
      </c>
      <c r="D992" s="87" t="s">
        <v>204</v>
      </c>
      <c r="E992" s="89">
        <v>1.0</v>
      </c>
      <c r="F992" s="89">
        <v>0.4056</v>
      </c>
      <c r="G992" s="89">
        <v>0.083</v>
      </c>
      <c r="H992" s="98"/>
      <c r="I992" s="90">
        <f t="shared" si="1"/>
        <v>3.886746988</v>
      </c>
      <c r="J992" s="81">
        <f t="shared" si="2"/>
        <v>0.2046351085</v>
      </c>
      <c r="K992" s="66">
        <v>1.0</v>
      </c>
    </row>
    <row r="993">
      <c r="A993" s="88">
        <v>44690.0</v>
      </c>
      <c r="B993" s="89">
        <v>2031.0</v>
      </c>
      <c r="C993" s="89">
        <v>3.0</v>
      </c>
      <c r="D993" s="87" t="s">
        <v>204</v>
      </c>
      <c r="E993" s="89">
        <v>0.0</v>
      </c>
      <c r="F993" s="89">
        <v>0.2943</v>
      </c>
      <c r="G993" s="89">
        <v>0.0489</v>
      </c>
      <c r="H993" s="98"/>
      <c r="I993" s="90">
        <f t="shared" si="1"/>
        <v>5.018404908</v>
      </c>
      <c r="J993" s="81">
        <f t="shared" si="2"/>
        <v>0.1661569827</v>
      </c>
      <c r="K993" s="66">
        <v>1.0</v>
      </c>
    </row>
    <row r="994">
      <c r="A994" s="88">
        <v>44690.0</v>
      </c>
      <c r="B994" s="89">
        <v>2088.0</v>
      </c>
      <c r="C994" s="89">
        <v>1.0</v>
      </c>
      <c r="D994" s="87" t="s">
        <v>204</v>
      </c>
      <c r="E994" s="89">
        <v>1.0</v>
      </c>
      <c r="F994" s="89">
        <v>1.0377</v>
      </c>
      <c r="G994" s="89">
        <v>0.154</v>
      </c>
      <c r="H994" s="98"/>
      <c r="I994" s="90">
        <f t="shared" si="1"/>
        <v>5.738311688</v>
      </c>
      <c r="J994" s="81">
        <f t="shared" si="2"/>
        <v>0.1484051267</v>
      </c>
      <c r="K994" s="66">
        <v>1.0</v>
      </c>
    </row>
    <row r="995">
      <c r="A995" s="88">
        <v>44690.0</v>
      </c>
      <c r="B995" s="89">
        <v>2031.0</v>
      </c>
      <c r="C995" s="89">
        <v>2.0</v>
      </c>
      <c r="D995" s="87" t="s">
        <v>204</v>
      </c>
      <c r="E995" s="89">
        <v>1.0</v>
      </c>
      <c r="F995" s="89">
        <v>2.6386</v>
      </c>
      <c r="G995" s="89">
        <v>0.224</v>
      </c>
      <c r="H995" s="98"/>
      <c r="I995" s="90">
        <f t="shared" si="1"/>
        <v>10.77946429</v>
      </c>
      <c r="J995" s="81">
        <f t="shared" si="2"/>
        <v>0.08489350413</v>
      </c>
      <c r="K995" s="66">
        <v>1.0</v>
      </c>
    </row>
    <row r="996">
      <c r="A996" s="88">
        <v>44690.0</v>
      </c>
      <c r="B996" s="89">
        <v>2030.0</v>
      </c>
      <c r="C996" s="89">
        <v>2.0</v>
      </c>
      <c r="D996" s="87" t="s">
        <v>204</v>
      </c>
      <c r="E996" s="89">
        <v>0.0</v>
      </c>
      <c r="F996" s="89">
        <v>2.6455</v>
      </c>
      <c r="G996" s="89">
        <v>0.095</v>
      </c>
      <c r="H996" s="98"/>
      <c r="I996" s="90">
        <f t="shared" si="1"/>
        <v>26.84736842</v>
      </c>
      <c r="J996" s="81">
        <f t="shared" si="2"/>
        <v>0.03591003591</v>
      </c>
      <c r="K996" s="66">
        <v>1.0</v>
      </c>
    </row>
    <row r="997">
      <c r="A997" s="88">
        <v>44704.0</v>
      </c>
      <c r="B997" s="89">
        <v>2022.0</v>
      </c>
      <c r="C997" s="89">
        <v>1.0</v>
      </c>
      <c r="D997" s="87" t="s">
        <v>204</v>
      </c>
      <c r="E997" s="89">
        <v>0.0</v>
      </c>
      <c r="F997" s="89">
        <v>0.02371</v>
      </c>
      <c r="G997" s="89">
        <v>0.119</v>
      </c>
      <c r="H997" s="98"/>
      <c r="I997" s="90">
        <f t="shared" si="1"/>
        <v>-0.8007563025</v>
      </c>
      <c r="J997" s="81">
        <f t="shared" si="2"/>
        <v>5.018979334</v>
      </c>
    </row>
    <row r="998">
      <c r="A998" s="88">
        <v>44704.0</v>
      </c>
      <c r="B998" s="89">
        <v>2376.0</v>
      </c>
      <c r="C998" s="89">
        <v>3.0</v>
      </c>
      <c r="D998" s="87" t="s">
        <v>205</v>
      </c>
      <c r="E998" s="89">
        <v>1.0</v>
      </c>
      <c r="F998" s="89">
        <v>2.2485</v>
      </c>
      <c r="G998" s="89">
        <v>1.378</v>
      </c>
      <c r="H998" s="98"/>
      <c r="I998" s="90">
        <f t="shared" si="1"/>
        <v>0.631712627</v>
      </c>
      <c r="J998" s="81">
        <f t="shared" si="2"/>
        <v>0.6128530131</v>
      </c>
    </row>
    <row r="999">
      <c r="A999" s="88">
        <v>44704.0</v>
      </c>
      <c r="B999" s="89">
        <v>2354.0</v>
      </c>
      <c r="C999" s="89">
        <v>3.0</v>
      </c>
      <c r="D999" s="87" t="s">
        <v>205</v>
      </c>
      <c r="E999" s="89">
        <v>1.0</v>
      </c>
      <c r="F999" s="89">
        <v>1.9796</v>
      </c>
      <c r="G999" s="89">
        <v>1.2084</v>
      </c>
      <c r="H999" s="98"/>
      <c r="I999" s="90">
        <f t="shared" si="1"/>
        <v>0.6381992718</v>
      </c>
      <c r="J999" s="81">
        <f t="shared" si="2"/>
        <v>0.6104263488</v>
      </c>
    </row>
    <row r="1000">
      <c r="A1000" s="88">
        <v>44704.0</v>
      </c>
      <c r="B1000" s="89">
        <v>2354.0</v>
      </c>
      <c r="C1000" s="89">
        <v>1.0</v>
      </c>
      <c r="D1000" s="87" t="s">
        <v>205</v>
      </c>
      <c r="E1000" s="89">
        <v>1.0</v>
      </c>
      <c r="F1000" s="89">
        <v>1.5656</v>
      </c>
      <c r="G1000" s="89">
        <v>0.95</v>
      </c>
      <c r="H1000" s="98"/>
      <c r="I1000" s="90">
        <f t="shared" si="1"/>
        <v>0.648</v>
      </c>
      <c r="J1000" s="81">
        <f t="shared" si="2"/>
        <v>0.6067961165</v>
      </c>
    </row>
    <row r="1001">
      <c r="A1001" s="88">
        <v>44704.0</v>
      </c>
      <c r="B1001" s="89">
        <v>2030.0</v>
      </c>
      <c r="C1001" s="89">
        <v>3.0</v>
      </c>
      <c r="D1001" s="87" t="s">
        <v>205</v>
      </c>
      <c r="E1001" s="89">
        <v>1.0</v>
      </c>
      <c r="F1001" s="89">
        <v>2.0399</v>
      </c>
      <c r="G1001" s="89">
        <v>1.236</v>
      </c>
      <c r="H1001" s="98"/>
      <c r="I1001" s="90">
        <f t="shared" si="1"/>
        <v>0.6504045307</v>
      </c>
      <c r="J1001" s="81">
        <f t="shared" si="2"/>
        <v>0.6059120545</v>
      </c>
    </row>
    <row r="1002">
      <c r="A1002" s="88">
        <v>44704.0</v>
      </c>
      <c r="B1002" s="89">
        <v>2354.0</v>
      </c>
      <c r="C1002" s="89">
        <v>2.0</v>
      </c>
      <c r="D1002" s="87" t="s">
        <v>205</v>
      </c>
      <c r="E1002" s="89">
        <v>1.0</v>
      </c>
      <c r="F1002" s="89">
        <v>1.7053</v>
      </c>
      <c r="G1002" s="89">
        <v>1.018</v>
      </c>
      <c r="H1002" s="98"/>
      <c r="I1002" s="90">
        <f t="shared" si="1"/>
        <v>0.6751473477</v>
      </c>
      <c r="J1002" s="81">
        <f t="shared" si="2"/>
        <v>0.5969624113</v>
      </c>
    </row>
    <row r="1003">
      <c r="A1003" s="88">
        <v>44704.0</v>
      </c>
      <c r="B1003" s="89">
        <v>2377.0</v>
      </c>
      <c r="C1003" s="89">
        <v>3.0</v>
      </c>
      <c r="D1003" s="87" t="s">
        <v>205</v>
      </c>
      <c r="E1003" s="89">
        <v>1.0</v>
      </c>
      <c r="F1003" s="89">
        <v>1.0138</v>
      </c>
      <c r="G1003" s="89">
        <v>0.605</v>
      </c>
      <c r="H1003" s="98"/>
      <c r="I1003" s="90">
        <f t="shared" si="1"/>
        <v>0.6757024793</v>
      </c>
      <c r="J1003" s="81">
        <f t="shared" si="2"/>
        <v>0.5967646479</v>
      </c>
    </row>
    <row r="1004">
      <c r="A1004" s="88">
        <v>44704.0</v>
      </c>
      <c r="B1004" s="89">
        <v>2377.0</v>
      </c>
      <c r="C1004" s="89">
        <v>2.0</v>
      </c>
      <c r="D1004" s="87" t="s">
        <v>205</v>
      </c>
      <c r="E1004" s="89">
        <v>1.0</v>
      </c>
      <c r="F1004" s="89">
        <v>0.4562</v>
      </c>
      <c r="G1004" s="89">
        <v>0.272</v>
      </c>
      <c r="H1004" s="98"/>
      <c r="I1004" s="90">
        <f t="shared" si="1"/>
        <v>0.6772058824</v>
      </c>
      <c r="J1004" s="81">
        <f t="shared" si="2"/>
        <v>0.5962297238</v>
      </c>
    </row>
    <row r="1005">
      <c r="A1005" s="88">
        <v>44704.0</v>
      </c>
      <c r="B1005" s="89">
        <v>2376.0</v>
      </c>
      <c r="C1005" s="89">
        <v>2.0</v>
      </c>
      <c r="D1005" s="87" t="s">
        <v>205</v>
      </c>
      <c r="E1005" s="89">
        <v>1.0</v>
      </c>
      <c r="F1005" s="89">
        <v>2.2443</v>
      </c>
      <c r="G1005" s="89">
        <v>1.331</v>
      </c>
      <c r="H1005" s="98"/>
      <c r="I1005" s="90">
        <f t="shared" si="1"/>
        <v>0.6861758077</v>
      </c>
      <c r="J1005" s="81">
        <f t="shared" si="2"/>
        <v>0.5930579691</v>
      </c>
    </row>
    <row r="1006">
      <c r="A1006" s="88">
        <v>44704.0</v>
      </c>
      <c r="B1006" s="89">
        <v>2029.0</v>
      </c>
      <c r="C1006" s="89">
        <v>2.0</v>
      </c>
      <c r="D1006" s="87" t="s">
        <v>205</v>
      </c>
      <c r="E1006" s="89">
        <v>1.0</v>
      </c>
      <c r="F1006" s="89">
        <v>0.1904</v>
      </c>
      <c r="G1006" s="89">
        <v>0.1122</v>
      </c>
      <c r="H1006" s="98"/>
      <c r="I1006" s="90">
        <f t="shared" si="1"/>
        <v>0.696969697</v>
      </c>
      <c r="J1006" s="81">
        <f t="shared" si="2"/>
        <v>0.5892857143</v>
      </c>
    </row>
    <row r="1007">
      <c r="A1007" s="88">
        <v>44704.0</v>
      </c>
      <c r="B1007" s="89">
        <v>2022.0</v>
      </c>
      <c r="C1007" s="89">
        <v>3.0</v>
      </c>
      <c r="D1007" s="87" t="s">
        <v>205</v>
      </c>
      <c r="E1007" s="89">
        <v>1.0</v>
      </c>
      <c r="F1007" s="89">
        <v>1.5818</v>
      </c>
      <c r="G1007" s="89">
        <v>0.931</v>
      </c>
      <c r="H1007" s="98"/>
      <c r="I1007" s="90">
        <f t="shared" si="1"/>
        <v>0.6990332975</v>
      </c>
      <c r="J1007" s="81">
        <f t="shared" si="2"/>
        <v>0.5885699836</v>
      </c>
    </row>
    <row r="1008">
      <c r="A1008" s="88">
        <v>44704.0</v>
      </c>
      <c r="B1008" s="89">
        <v>2377.0</v>
      </c>
      <c r="C1008" s="89">
        <v>1.0</v>
      </c>
      <c r="D1008" s="87" t="s">
        <v>205</v>
      </c>
      <c r="E1008" s="89">
        <v>1.0</v>
      </c>
      <c r="F1008" s="89">
        <v>2.956</v>
      </c>
      <c r="G1008" s="89">
        <v>1.739</v>
      </c>
      <c r="H1008" s="98"/>
      <c r="I1008" s="90">
        <f t="shared" si="1"/>
        <v>0.6998274871</v>
      </c>
      <c r="J1008" s="81">
        <f t="shared" si="2"/>
        <v>0.5882949932</v>
      </c>
    </row>
    <row r="1009">
      <c r="A1009" s="88">
        <v>44704.0</v>
      </c>
      <c r="B1009" s="89">
        <v>2083.0</v>
      </c>
      <c r="C1009" s="89">
        <v>3.0</v>
      </c>
      <c r="D1009" s="87" t="s">
        <v>204</v>
      </c>
      <c r="E1009" s="89">
        <v>1.0</v>
      </c>
      <c r="F1009" s="89">
        <v>0.6495</v>
      </c>
      <c r="G1009" s="89">
        <v>0.38</v>
      </c>
      <c r="H1009" s="98"/>
      <c r="I1009" s="90">
        <f t="shared" si="1"/>
        <v>0.7092105263</v>
      </c>
      <c r="J1009" s="81">
        <f t="shared" si="2"/>
        <v>0.5850654349</v>
      </c>
    </row>
    <row r="1010">
      <c r="A1010" s="88">
        <v>44704.0</v>
      </c>
      <c r="B1010" s="89">
        <v>2376.0</v>
      </c>
      <c r="C1010" s="89">
        <v>1.0</v>
      </c>
      <c r="D1010" s="87" t="s">
        <v>205</v>
      </c>
      <c r="E1010" s="89">
        <v>1.0</v>
      </c>
      <c r="F1010" s="89">
        <v>0.7558</v>
      </c>
      <c r="G1010" s="89">
        <v>0.44</v>
      </c>
      <c r="H1010" s="98"/>
      <c r="I1010" s="90">
        <f t="shared" si="1"/>
        <v>0.7177272727</v>
      </c>
      <c r="J1010" s="81">
        <f t="shared" si="2"/>
        <v>0.5821645938</v>
      </c>
    </row>
    <row r="1011">
      <c r="A1011" s="88">
        <v>44704.0</v>
      </c>
      <c r="B1011" s="89">
        <v>2029.0</v>
      </c>
      <c r="C1011" s="89">
        <v>1.0</v>
      </c>
      <c r="D1011" s="87" t="s">
        <v>205</v>
      </c>
      <c r="E1011" s="89">
        <v>1.0</v>
      </c>
      <c r="F1011" s="89">
        <v>0.4022</v>
      </c>
      <c r="G1011" s="89">
        <v>0.233</v>
      </c>
      <c r="H1011" s="98"/>
      <c r="I1011" s="90">
        <f t="shared" si="1"/>
        <v>0.7261802575</v>
      </c>
      <c r="J1011" s="81">
        <f t="shared" si="2"/>
        <v>0.5793137742</v>
      </c>
    </row>
    <row r="1012">
      <c r="A1012" s="88">
        <v>44704.0</v>
      </c>
      <c r="B1012" s="89">
        <v>2029.0</v>
      </c>
      <c r="C1012" s="89">
        <v>3.0</v>
      </c>
      <c r="D1012" s="87" t="s">
        <v>205</v>
      </c>
      <c r="E1012" s="89">
        <v>1.0</v>
      </c>
      <c r="F1012" s="89">
        <v>0.7988</v>
      </c>
      <c r="G1012" s="89">
        <v>0.458</v>
      </c>
      <c r="H1012" s="98"/>
      <c r="I1012" s="90">
        <f t="shared" si="1"/>
        <v>0.7441048035</v>
      </c>
      <c r="J1012" s="81">
        <f t="shared" si="2"/>
        <v>0.5733600401</v>
      </c>
    </row>
    <row r="1013">
      <c r="A1013" s="88">
        <v>44704.0</v>
      </c>
      <c r="B1013" s="89">
        <v>2022.0</v>
      </c>
      <c r="C1013" s="89">
        <v>2.0</v>
      </c>
      <c r="D1013" s="87" t="s">
        <v>205</v>
      </c>
      <c r="E1013" s="89">
        <v>1.0</v>
      </c>
      <c r="F1013" s="89">
        <v>1.3195</v>
      </c>
      <c r="G1013" s="89">
        <v>0.756</v>
      </c>
      <c r="H1013" s="98"/>
      <c r="I1013" s="90">
        <f t="shared" si="1"/>
        <v>0.7453703704</v>
      </c>
      <c r="J1013" s="81">
        <f t="shared" si="2"/>
        <v>0.5729442971</v>
      </c>
    </row>
    <row r="1014">
      <c r="A1014" s="88">
        <v>44704.0</v>
      </c>
      <c r="B1014" s="89">
        <v>2029.0</v>
      </c>
      <c r="C1014" s="89">
        <v>1.0</v>
      </c>
      <c r="D1014" s="87" t="s">
        <v>205</v>
      </c>
      <c r="E1014" s="89">
        <v>0.0</v>
      </c>
      <c r="F1014" s="89">
        <v>1.8393</v>
      </c>
      <c r="G1014" s="89">
        <v>1.051</v>
      </c>
      <c r="H1014" s="98"/>
      <c r="I1014" s="90">
        <f t="shared" si="1"/>
        <v>0.7500475737</v>
      </c>
      <c r="J1014" s="81">
        <f t="shared" si="2"/>
        <v>0.5714130376</v>
      </c>
    </row>
    <row r="1015">
      <c r="A1015" s="88">
        <v>44704.0</v>
      </c>
      <c r="B1015" s="89">
        <v>2083.0</v>
      </c>
      <c r="C1015" s="89">
        <v>3.0</v>
      </c>
      <c r="D1015" s="87" t="s">
        <v>205</v>
      </c>
      <c r="E1015" s="89">
        <v>0.0</v>
      </c>
      <c r="F1015" s="89">
        <v>1.257</v>
      </c>
      <c r="G1015" s="89">
        <v>0.7143</v>
      </c>
      <c r="H1015" s="98"/>
      <c r="I1015" s="90">
        <f t="shared" si="1"/>
        <v>0.7597648047</v>
      </c>
      <c r="J1015" s="81">
        <f t="shared" si="2"/>
        <v>0.5682577566</v>
      </c>
    </row>
    <row r="1016">
      <c r="A1016" s="88">
        <v>44704.0</v>
      </c>
      <c r="B1016" s="89">
        <v>2022.0</v>
      </c>
      <c r="C1016" s="89">
        <v>1.0</v>
      </c>
      <c r="D1016" s="87" t="s">
        <v>205</v>
      </c>
      <c r="E1016" s="89">
        <v>1.0</v>
      </c>
      <c r="F1016" s="89">
        <v>0.4403</v>
      </c>
      <c r="G1016" s="89">
        <v>0.2501</v>
      </c>
      <c r="H1016" s="98"/>
      <c r="I1016" s="90">
        <f t="shared" si="1"/>
        <v>0.7604958017</v>
      </c>
      <c r="J1016" s="81">
        <f t="shared" si="2"/>
        <v>0.5680218033</v>
      </c>
    </row>
    <row r="1017">
      <c r="A1017" s="88">
        <v>44704.0</v>
      </c>
      <c r="B1017" s="89">
        <v>2028.0</v>
      </c>
      <c r="C1017" s="89">
        <v>2.0</v>
      </c>
      <c r="D1017" s="87" t="s">
        <v>205</v>
      </c>
      <c r="E1017" s="89">
        <v>0.0</v>
      </c>
      <c r="F1017" s="89">
        <v>0.7848</v>
      </c>
      <c r="G1017" s="89">
        <v>0.4442</v>
      </c>
      <c r="H1017" s="98"/>
      <c r="I1017" s="90">
        <f t="shared" si="1"/>
        <v>0.7667717244</v>
      </c>
      <c r="J1017" s="81">
        <f t="shared" si="2"/>
        <v>0.5660040775</v>
      </c>
    </row>
    <row r="1018">
      <c r="A1018" s="88">
        <v>44704.0</v>
      </c>
      <c r="B1018" s="89">
        <v>2030.0</v>
      </c>
      <c r="C1018" s="89">
        <v>1.0</v>
      </c>
      <c r="D1018" s="87" t="s">
        <v>205</v>
      </c>
      <c r="E1018" s="89">
        <v>0.0</v>
      </c>
      <c r="F1018" s="89">
        <v>0.9779</v>
      </c>
      <c r="G1018" s="89">
        <v>0.549</v>
      </c>
      <c r="H1018" s="98"/>
      <c r="I1018" s="90">
        <f t="shared" si="1"/>
        <v>0.7812386157</v>
      </c>
      <c r="J1018" s="81">
        <f t="shared" si="2"/>
        <v>0.5614070968</v>
      </c>
    </row>
    <row r="1019">
      <c r="A1019" s="88">
        <v>44704.0</v>
      </c>
      <c r="B1019" s="89">
        <v>2029.0</v>
      </c>
      <c r="C1019" s="89">
        <v>3.0</v>
      </c>
      <c r="D1019" s="87" t="s">
        <v>205</v>
      </c>
      <c r="E1019" s="89">
        <v>0.0</v>
      </c>
      <c r="F1019" s="89">
        <v>1.4277</v>
      </c>
      <c r="G1019" s="89">
        <v>0.8012</v>
      </c>
      <c r="H1019" s="98"/>
      <c r="I1019" s="90">
        <f t="shared" si="1"/>
        <v>0.7819520719</v>
      </c>
      <c r="J1019" s="81">
        <f t="shared" si="2"/>
        <v>0.5611823212</v>
      </c>
    </row>
    <row r="1020">
      <c r="A1020" s="88">
        <v>44704.0</v>
      </c>
      <c r="B1020" s="89">
        <v>2380.0</v>
      </c>
      <c r="C1020" s="89">
        <v>3.0</v>
      </c>
      <c r="D1020" s="87" t="s">
        <v>204</v>
      </c>
      <c r="E1020" s="89">
        <v>0.0</v>
      </c>
      <c r="F1020" s="89">
        <v>0.2337</v>
      </c>
      <c r="G1020" s="89">
        <v>0.131</v>
      </c>
      <c r="H1020" s="98"/>
      <c r="I1020" s="90">
        <f t="shared" si="1"/>
        <v>0.7839694656</v>
      </c>
      <c r="J1020" s="81">
        <f t="shared" si="2"/>
        <v>0.5605477107</v>
      </c>
    </row>
    <row r="1021">
      <c r="A1021" s="88">
        <v>44704.0</v>
      </c>
      <c r="B1021" s="89">
        <v>2028.0</v>
      </c>
      <c r="C1021" s="89">
        <v>1.0</v>
      </c>
      <c r="D1021" s="87" t="s">
        <v>205</v>
      </c>
      <c r="E1021" s="89">
        <v>0.0</v>
      </c>
      <c r="F1021" s="89">
        <v>0.8756</v>
      </c>
      <c r="G1021" s="89">
        <v>0.489</v>
      </c>
      <c r="H1021" s="98"/>
      <c r="I1021" s="90">
        <f t="shared" si="1"/>
        <v>0.790593047</v>
      </c>
      <c r="J1021" s="81">
        <f t="shared" si="2"/>
        <v>0.5584741891</v>
      </c>
    </row>
    <row r="1022">
      <c r="A1022" s="88">
        <v>44704.0</v>
      </c>
      <c r="B1022" s="89">
        <v>2376.0</v>
      </c>
      <c r="C1022" s="89">
        <v>2.0</v>
      </c>
      <c r="D1022" s="87" t="s">
        <v>204</v>
      </c>
      <c r="E1022" s="89">
        <v>1.0</v>
      </c>
      <c r="F1022" s="89">
        <v>0.6257</v>
      </c>
      <c r="G1022" s="89">
        <v>0.3493</v>
      </c>
      <c r="H1022" s="98"/>
      <c r="I1022" s="90">
        <f t="shared" si="1"/>
        <v>0.7912968795</v>
      </c>
      <c r="J1022" s="81">
        <f t="shared" si="2"/>
        <v>0.5582547547</v>
      </c>
    </row>
    <row r="1023">
      <c r="A1023" s="88">
        <v>44704.0</v>
      </c>
      <c r="B1023" s="89">
        <v>2022.0</v>
      </c>
      <c r="C1023" s="89">
        <v>1.0</v>
      </c>
      <c r="D1023" s="87" t="s">
        <v>204</v>
      </c>
      <c r="E1023" s="89">
        <v>1.0</v>
      </c>
      <c r="F1023" s="89">
        <v>0.2133</v>
      </c>
      <c r="G1023" s="89">
        <v>0.119</v>
      </c>
      <c r="H1023" s="98"/>
      <c r="I1023" s="90">
        <f t="shared" si="1"/>
        <v>0.7924369748</v>
      </c>
      <c r="J1023" s="81">
        <f t="shared" si="2"/>
        <v>0.5578996718</v>
      </c>
    </row>
    <row r="1024">
      <c r="A1024" s="88">
        <v>44704.0</v>
      </c>
      <c r="B1024" s="89">
        <v>2028.0</v>
      </c>
      <c r="C1024" s="89">
        <v>3.0</v>
      </c>
      <c r="D1024" s="87" t="s">
        <v>205</v>
      </c>
      <c r="E1024" s="89">
        <v>0.0</v>
      </c>
      <c r="F1024" s="89">
        <v>1.8612</v>
      </c>
      <c r="G1024" s="89">
        <v>1.0362</v>
      </c>
      <c r="H1024" s="98"/>
      <c r="I1024" s="90">
        <f t="shared" si="1"/>
        <v>0.7961783439</v>
      </c>
      <c r="J1024" s="81">
        <f t="shared" si="2"/>
        <v>0.5567375887</v>
      </c>
    </row>
    <row r="1025">
      <c r="A1025" s="88">
        <v>44704.0</v>
      </c>
      <c r="B1025" s="89">
        <v>2022.0</v>
      </c>
      <c r="C1025" s="89">
        <v>1.0</v>
      </c>
      <c r="D1025" s="87" t="s">
        <v>205</v>
      </c>
      <c r="E1025" s="89">
        <v>0.0</v>
      </c>
      <c r="F1025" s="89">
        <v>3.5892</v>
      </c>
      <c r="G1025" s="89">
        <v>1.992</v>
      </c>
      <c r="H1025" s="98"/>
      <c r="I1025" s="90">
        <f t="shared" si="1"/>
        <v>0.8018072289</v>
      </c>
      <c r="J1025" s="81">
        <f t="shared" si="2"/>
        <v>0.5549983283</v>
      </c>
    </row>
    <row r="1026">
      <c r="A1026" s="88">
        <v>44704.0</v>
      </c>
      <c r="B1026" s="89">
        <v>2030.0</v>
      </c>
      <c r="C1026" s="89">
        <v>2.0</v>
      </c>
      <c r="D1026" s="87" t="s">
        <v>205</v>
      </c>
      <c r="E1026" s="89">
        <v>0.0</v>
      </c>
      <c r="F1026" s="89">
        <v>0.6483</v>
      </c>
      <c r="G1026" s="89">
        <v>0.359</v>
      </c>
      <c r="H1026" s="98"/>
      <c r="I1026" s="90">
        <f t="shared" si="1"/>
        <v>0.8058495822</v>
      </c>
      <c r="J1026" s="81">
        <f t="shared" si="2"/>
        <v>0.5537559772</v>
      </c>
    </row>
    <row r="1027">
      <c r="A1027" s="88">
        <v>44704.0</v>
      </c>
      <c r="B1027" s="89">
        <v>2384.0</v>
      </c>
      <c r="C1027" s="89">
        <v>2.0</v>
      </c>
      <c r="D1027" s="87" t="s">
        <v>204</v>
      </c>
      <c r="E1027" s="89">
        <v>1.0</v>
      </c>
      <c r="F1027" s="89">
        <v>0.297</v>
      </c>
      <c r="G1027" s="89">
        <v>0.1642</v>
      </c>
      <c r="H1027" s="98"/>
      <c r="I1027" s="90">
        <f t="shared" si="1"/>
        <v>0.8087697929</v>
      </c>
      <c r="J1027" s="81">
        <f t="shared" si="2"/>
        <v>0.5528619529</v>
      </c>
    </row>
    <row r="1028">
      <c r="A1028" s="88">
        <v>44704.0</v>
      </c>
      <c r="B1028" s="89">
        <v>2026.0</v>
      </c>
      <c r="C1028" s="89">
        <v>1.0</v>
      </c>
      <c r="D1028" s="87" t="s">
        <v>205</v>
      </c>
      <c r="E1028" s="89">
        <v>0.0</v>
      </c>
      <c r="F1028" s="89">
        <v>0.9103</v>
      </c>
      <c r="G1028" s="89">
        <v>0.502</v>
      </c>
      <c r="H1028" s="98"/>
      <c r="I1028" s="90">
        <f t="shared" si="1"/>
        <v>0.8133466135</v>
      </c>
      <c r="J1028" s="81">
        <f t="shared" si="2"/>
        <v>0.5514665495</v>
      </c>
    </row>
    <row r="1029">
      <c r="A1029" s="88">
        <v>44704.0</v>
      </c>
      <c r="B1029" s="89">
        <v>2083.0</v>
      </c>
      <c r="C1029" s="89">
        <v>2.0</v>
      </c>
      <c r="D1029" s="87" t="s">
        <v>204</v>
      </c>
      <c r="E1029" s="89">
        <v>1.0</v>
      </c>
      <c r="F1029" s="89">
        <v>0.098</v>
      </c>
      <c r="G1029" s="89">
        <v>0.054</v>
      </c>
      <c r="H1029" s="98"/>
      <c r="I1029" s="90">
        <f t="shared" si="1"/>
        <v>0.8148148148</v>
      </c>
      <c r="J1029" s="81">
        <f t="shared" si="2"/>
        <v>0.5510204082</v>
      </c>
    </row>
    <row r="1030">
      <c r="A1030" s="88">
        <v>44704.0</v>
      </c>
      <c r="B1030" s="89">
        <v>2029.0</v>
      </c>
      <c r="C1030" s="89">
        <v>2.0</v>
      </c>
      <c r="D1030" s="87" t="s">
        <v>205</v>
      </c>
      <c r="E1030" s="89">
        <v>0.0</v>
      </c>
      <c r="F1030" s="89">
        <v>2.8668</v>
      </c>
      <c r="G1030" s="89">
        <v>1.5796</v>
      </c>
      <c r="H1030" s="98"/>
      <c r="I1030" s="90">
        <f t="shared" si="1"/>
        <v>0.8148898455</v>
      </c>
      <c r="J1030" s="81">
        <f t="shared" si="2"/>
        <v>0.550997628</v>
      </c>
    </row>
    <row r="1031">
      <c r="A1031" s="88">
        <v>44704.0</v>
      </c>
      <c r="B1031" s="89">
        <v>2083.0</v>
      </c>
      <c r="C1031" s="89">
        <v>1.0</v>
      </c>
      <c r="D1031" s="87" t="s">
        <v>204</v>
      </c>
      <c r="E1031" s="89">
        <v>1.0</v>
      </c>
      <c r="F1031" s="89">
        <v>0.3504</v>
      </c>
      <c r="G1031" s="89">
        <v>0.193</v>
      </c>
      <c r="H1031" s="98"/>
      <c r="I1031" s="90">
        <f t="shared" si="1"/>
        <v>0.8155440415</v>
      </c>
      <c r="J1031" s="81">
        <f t="shared" si="2"/>
        <v>0.5507990868</v>
      </c>
    </row>
    <row r="1032">
      <c r="A1032" s="88">
        <v>44704.0</v>
      </c>
      <c r="B1032" s="89">
        <v>2083.0</v>
      </c>
      <c r="C1032" s="89">
        <v>1.0</v>
      </c>
      <c r="D1032" s="87" t="s">
        <v>205</v>
      </c>
      <c r="E1032" s="89">
        <v>0.0</v>
      </c>
      <c r="F1032" s="89">
        <v>1.5564</v>
      </c>
      <c r="G1032" s="89">
        <v>0.856</v>
      </c>
      <c r="H1032" s="98"/>
      <c r="I1032" s="90">
        <f t="shared" si="1"/>
        <v>0.8182242991</v>
      </c>
      <c r="J1032" s="81">
        <f t="shared" si="2"/>
        <v>0.5499871498</v>
      </c>
    </row>
    <row r="1033">
      <c r="A1033" s="88">
        <v>44704.0</v>
      </c>
      <c r="B1033" s="89">
        <v>2384.0</v>
      </c>
      <c r="C1033" s="89">
        <v>2.0</v>
      </c>
      <c r="D1033" s="87" t="s">
        <v>205</v>
      </c>
      <c r="E1033" s="89">
        <v>0.0</v>
      </c>
      <c r="F1033" s="89">
        <v>0.9488</v>
      </c>
      <c r="G1033" s="89">
        <v>0.5214</v>
      </c>
      <c r="H1033" s="98"/>
      <c r="I1033" s="90">
        <f t="shared" si="1"/>
        <v>0.8197161488</v>
      </c>
      <c r="J1033" s="81">
        <f t="shared" si="2"/>
        <v>0.5495362563</v>
      </c>
    </row>
    <row r="1034">
      <c r="A1034" s="88">
        <v>44704.0</v>
      </c>
      <c r="B1034" s="89">
        <v>2029.0</v>
      </c>
      <c r="C1034" s="89">
        <v>2.0</v>
      </c>
      <c r="D1034" s="87" t="s">
        <v>204</v>
      </c>
      <c r="E1034" s="89">
        <v>1.0</v>
      </c>
      <c r="F1034" s="89">
        <v>0.3259</v>
      </c>
      <c r="G1034" s="89">
        <v>0.179</v>
      </c>
      <c r="H1034" s="98"/>
      <c r="I1034" s="90">
        <f t="shared" si="1"/>
        <v>0.8206703911</v>
      </c>
      <c r="J1034" s="81">
        <f t="shared" si="2"/>
        <v>0.5492482357</v>
      </c>
    </row>
    <row r="1035">
      <c r="A1035" s="88">
        <v>44704.0</v>
      </c>
      <c r="B1035" s="89">
        <v>2384.0</v>
      </c>
      <c r="C1035" s="89">
        <v>1.0</v>
      </c>
      <c r="D1035" s="87" t="s">
        <v>204</v>
      </c>
      <c r="E1035" s="89">
        <v>1.0</v>
      </c>
      <c r="F1035" s="89">
        <v>0.2038</v>
      </c>
      <c r="G1035" s="89">
        <v>0.1116</v>
      </c>
      <c r="H1035" s="98"/>
      <c r="I1035" s="90">
        <f t="shared" si="1"/>
        <v>0.8261648746</v>
      </c>
      <c r="J1035" s="81">
        <f t="shared" si="2"/>
        <v>0.547595682</v>
      </c>
    </row>
    <row r="1036">
      <c r="A1036" s="88">
        <v>44704.0</v>
      </c>
      <c r="B1036" s="89">
        <v>2022.0</v>
      </c>
      <c r="C1036" s="89">
        <v>3.0</v>
      </c>
      <c r="D1036" s="87" t="s">
        <v>205</v>
      </c>
      <c r="E1036" s="89">
        <v>0.0</v>
      </c>
      <c r="F1036" s="89">
        <v>0.4113</v>
      </c>
      <c r="G1036" s="89">
        <v>0.225</v>
      </c>
      <c r="H1036" s="98"/>
      <c r="I1036" s="90">
        <f t="shared" si="1"/>
        <v>0.828</v>
      </c>
      <c r="J1036" s="81">
        <f t="shared" si="2"/>
        <v>0.5470459519</v>
      </c>
    </row>
    <row r="1037">
      <c r="A1037" s="88">
        <v>44704.0</v>
      </c>
      <c r="B1037" s="89">
        <v>2384.0</v>
      </c>
      <c r="C1037" s="89">
        <v>1.0</v>
      </c>
      <c r="D1037" s="87" t="s">
        <v>205</v>
      </c>
      <c r="E1037" s="89">
        <v>0.0</v>
      </c>
      <c r="F1037" s="89">
        <v>1.0302</v>
      </c>
      <c r="G1037" s="89">
        <v>0.562</v>
      </c>
      <c r="H1037" s="98"/>
      <c r="I1037" s="90">
        <f t="shared" si="1"/>
        <v>0.8330960854</v>
      </c>
      <c r="J1037" s="81">
        <f t="shared" si="2"/>
        <v>0.5455251407</v>
      </c>
    </row>
    <row r="1038">
      <c r="A1038" s="88">
        <v>44704.0</v>
      </c>
      <c r="B1038" s="89">
        <v>2027.0</v>
      </c>
      <c r="C1038" s="89">
        <v>1.0</v>
      </c>
      <c r="D1038" s="87" t="s">
        <v>204</v>
      </c>
      <c r="E1038" s="89">
        <v>1.0</v>
      </c>
      <c r="F1038" s="89">
        <v>0.2886</v>
      </c>
      <c r="G1038" s="89">
        <v>0.1571</v>
      </c>
      <c r="H1038" s="98"/>
      <c r="I1038" s="90">
        <f t="shared" si="1"/>
        <v>0.8370464672</v>
      </c>
      <c r="J1038" s="81">
        <f t="shared" si="2"/>
        <v>0.5443520444</v>
      </c>
    </row>
    <row r="1039">
      <c r="A1039" s="88">
        <v>44704.0</v>
      </c>
      <c r="B1039" s="89">
        <v>2354.0</v>
      </c>
      <c r="C1039" s="89">
        <v>3.0</v>
      </c>
      <c r="D1039" s="87" t="s">
        <v>204</v>
      </c>
      <c r="E1039" s="89">
        <v>1.0</v>
      </c>
      <c r="F1039" s="89">
        <v>0.3161</v>
      </c>
      <c r="G1039" s="89">
        <v>0.1715</v>
      </c>
      <c r="H1039" s="98"/>
      <c r="I1039" s="90">
        <f t="shared" si="1"/>
        <v>0.843148688</v>
      </c>
      <c r="J1039" s="81">
        <f t="shared" si="2"/>
        <v>0.542549826</v>
      </c>
    </row>
    <row r="1040">
      <c r="A1040" s="88">
        <v>44704.0</v>
      </c>
      <c r="B1040" s="89">
        <v>2354.0</v>
      </c>
      <c r="C1040" s="89">
        <v>2.0</v>
      </c>
      <c r="D1040" s="87" t="s">
        <v>204</v>
      </c>
      <c r="E1040" s="89">
        <v>1.0</v>
      </c>
      <c r="F1040" s="89">
        <v>0.3005</v>
      </c>
      <c r="G1040" s="89">
        <v>0.163</v>
      </c>
      <c r="H1040" s="98"/>
      <c r="I1040" s="90">
        <f t="shared" si="1"/>
        <v>0.8435582822</v>
      </c>
      <c r="J1040" s="81">
        <f t="shared" si="2"/>
        <v>0.5424292845</v>
      </c>
    </row>
    <row r="1041">
      <c r="A1041" s="88">
        <v>44704.0</v>
      </c>
      <c r="B1041" s="89">
        <v>2029.0</v>
      </c>
      <c r="C1041" s="89">
        <v>3.0</v>
      </c>
      <c r="D1041" s="87" t="s">
        <v>204</v>
      </c>
      <c r="E1041" s="89">
        <v>1.0</v>
      </c>
      <c r="F1041" s="89">
        <v>0.3436</v>
      </c>
      <c r="G1041" s="89">
        <v>0.1859</v>
      </c>
      <c r="H1041" s="98"/>
      <c r="I1041" s="90">
        <f t="shared" si="1"/>
        <v>0.8483055406</v>
      </c>
      <c r="J1041" s="81">
        <f t="shared" si="2"/>
        <v>0.5410360885</v>
      </c>
    </row>
    <row r="1042">
      <c r="A1042" s="88">
        <v>44704.0</v>
      </c>
      <c r="B1042" s="89">
        <v>2365.0</v>
      </c>
      <c r="C1042" s="89">
        <v>3.0</v>
      </c>
      <c r="D1042" s="87" t="s">
        <v>204</v>
      </c>
      <c r="E1042" s="89">
        <v>1.0</v>
      </c>
      <c r="F1042" s="89">
        <v>0.4345</v>
      </c>
      <c r="G1042" s="89">
        <v>0.235</v>
      </c>
      <c r="H1042" s="98"/>
      <c r="I1042" s="90">
        <f t="shared" si="1"/>
        <v>0.8489361702</v>
      </c>
      <c r="J1042" s="81">
        <f t="shared" si="2"/>
        <v>0.5408515535</v>
      </c>
    </row>
    <row r="1043">
      <c r="A1043" s="88">
        <v>44704.0</v>
      </c>
      <c r="B1043" s="89">
        <v>2030.0</v>
      </c>
      <c r="C1043" s="89">
        <v>3.0</v>
      </c>
      <c r="D1043" s="87" t="s">
        <v>205</v>
      </c>
      <c r="E1043" s="89">
        <v>0.0</v>
      </c>
      <c r="F1043" s="89">
        <v>0.2367</v>
      </c>
      <c r="G1043" s="89">
        <v>0.128</v>
      </c>
      <c r="H1043" s="98"/>
      <c r="I1043" s="90">
        <f t="shared" si="1"/>
        <v>0.84921875</v>
      </c>
      <c r="J1043" s="81">
        <f t="shared" si="2"/>
        <v>0.5407689058</v>
      </c>
    </row>
    <row r="1044">
      <c r="A1044" s="88">
        <v>44704.0</v>
      </c>
      <c r="B1044" s="89">
        <v>2343.0</v>
      </c>
      <c r="C1044" s="89">
        <v>2.0</v>
      </c>
      <c r="D1044" s="87" t="s">
        <v>205</v>
      </c>
      <c r="E1044" s="89">
        <v>0.0</v>
      </c>
      <c r="F1044" s="89">
        <v>1.2636</v>
      </c>
      <c r="G1044" s="89">
        <v>0.683</v>
      </c>
      <c r="H1044" s="98"/>
      <c r="I1044" s="90">
        <f t="shared" si="1"/>
        <v>0.8500732064</v>
      </c>
      <c r="J1044" s="81">
        <f t="shared" si="2"/>
        <v>0.5405191516</v>
      </c>
    </row>
    <row r="1045">
      <c r="A1045" s="88">
        <v>44704.0</v>
      </c>
      <c r="B1045" s="89">
        <v>2083.0</v>
      </c>
      <c r="C1045" s="89">
        <v>2.0</v>
      </c>
      <c r="D1045" s="87" t="s">
        <v>205</v>
      </c>
      <c r="E1045" s="89">
        <v>0.0</v>
      </c>
      <c r="F1045" s="89">
        <v>0.5237</v>
      </c>
      <c r="G1045" s="89">
        <v>0.283</v>
      </c>
      <c r="H1045" s="98"/>
      <c r="I1045" s="90">
        <f t="shared" si="1"/>
        <v>0.8505300353</v>
      </c>
      <c r="J1045" s="81">
        <f t="shared" si="2"/>
        <v>0.540385717</v>
      </c>
    </row>
    <row r="1046">
      <c r="A1046" s="88">
        <v>44704.0</v>
      </c>
      <c r="B1046" s="89">
        <v>2376.0</v>
      </c>
      <c r="C1046" s="89">
        <v>3.0</v>
      </c>
      <c r="D1046" s="87" t="s">
        <v>204</v>
      </c>
      <c r="E1046" s="89">
        <v>1.0</v>
      </c>
      <c r="F1046" s="89">
        <v>0.5868</v>
      </c>
      <c r="G1046" s="89">
        <v>0.317</v>
      </c>
      <c r="H1046" s="98"/>
      <c r="I1046" s="90">
        <f t="shared" si="1"/>
        <v>0.8511041009</v>
      </c>
      <c r="J1046" s="81">
        <f t="shared" si="2"/>
        <v>0.5402181322</v>
      </c>
    </row>
    <row r="1047">
      <c r="A1047" s="88">
        <v>44704.0</v>
      </c>
      <c r="B1047" s="89">
        <v>2026.0</v>
      </c>
      <c r="C1047" s="89">
        <v>1.0</v>
      </c>
      <c r="D1047" s="87" t="s">
        <v>204</v>
      </c>
      <c r="E1047" s="89">
        <v>1.0</v>
      </c>
      <c r="F1047" s="89">
        <v>0.1283</v>
      </c>
      <c r="G1047" s="89">
        <v>0.069</v>
      </c>
      <c r="H1047" s="98"/>
      <c r="I1047" s="90">
        <f t="shared" si="1"/>
        <v>0.8594202899</v>
      </c>
      <c r="J1047" s="81">
        <f t="shared" si="2"/>
        <v>0.5378020265</v>
      </c>
    </row>
    <row r="1048">
      <c r="A1048" s="88">
        <v>44704.0</v>
      </c>
      <c r="B1048" s="89">
        <v>2343.0</v>
      </c>
      <c r="C1048" s="89">
        <v>1.0</v>
      </c>
      <c r="D1048" s="87" t="s">
        <v>205</v>
      </c>
      <c r="E1048" s="89">
        <v>0.0</v>
      </c>
      <c r="F1048" s="89">
        <v>1.312</v>
      </c>
      <c r="G1048" s="89">
        <v>0.7051</v>
      </c>
      <c r="H1048" s="98"/>
      <c r="I1048" s="90">
        <f t="shared" si="1"/>
        <v>0.8607289746</v>
      </c>
      <c r="J1048" s="81">
        <f t="shared" si="2"/>
        <v>0.5374237805</v>
      </c>
    </row>
    <row r="1049">
      <c r="A1049" s="88">
        <v>44704.0</v>
      </c>
      <c r="B1049" s="89">
        <v>2354.0</v>
      </c>
      <c r="C1049" s="89">
        <v>1.0</v>
      </c>
      <c r="D1049" s="87" t="s">
        <v>204</v>
      </c>
      <c r="E1049" s="89">
        <v>1.0</v>
      </c>
      <c r="F1049" s="89">
        <v>0.2143</v>
      </c>
      <c r="G1049" s="89">
        <v>0.115</v>
      </c>
      <c r="H1049" s="98"/>
      <c r="I1049" s="90">
        <f t="shared" si="1"/>
        <v>0.8634782609</v>
      </c>
      <c r="J1049" s="81">
        <f t="shared" si="2"/>
        <v>0.5366308913</v>
      </c>
    </row>
    <row r="1050">
      <c r="A1050" s="88">
        <v>44704.0</v>
      </c>
      <c r="B1050" s="89">
        <v>2031.0</v>
      </c>
      <c r="C1050" s="89">
        <v>1.0</v>
      </c>
      <c r="D1050" s="87" t="s">
        <v>205</v>
      </c>
      <c r="E1050" s="89">
        <v>0.0</v>
      </c>
      <c r="F1050" s="89">
        <v>1.3598</v>
      </c>
      <c r="G1050" s="89">
        <v>0.7297</v>
      </c>
      <c r="H1050" s="98"/>
      <c r="I1050" s="90">
        <f t="shared" si="1"/>
        <v>0.8635055502</v>
      </c>
      <c r="J1050" s="81">
        <f t="shared" si="2"/>
        <v>0.5366230328</v>
      </c>
    </row>
    <row r="1051">
      <c r="A1051" s="88">
        <v>44704.0</v>
      </c>
      <c r="B1051" s="89">
        <v>2026.0</v>
      </c>
      <c r="C1051" s="89">
        <v>2.0</v>
      </c>
      <c r="D1051" s="87" t="s">
        <v>205</v>
      </c>
      <c r="E1051" s="89">
        <v>0.0</v>
      </c>
      <c r="F1051" s="89">
        <v>0.5368</v>
      </c>
      <c r="G1051" s="89">
        <v>0.288</v>
      </c>
      <c r="H1051" s="98"/>
      <c r="I1051" s="90">
        <f t="shared" si="1"/>
        <v>0.8638888889</v>
      </c>
      <c r="J1051" s="81">
        <f t="shared" si="2"/>
        <v>0.5365126677</v>
      </c>
    </row>
    <row r="1052">
      <c r="A1052" s="88">
        <v>44704.0</v>
      </c>
      <c r="B1052" s="89">
        <v>2031.0</v>
      </c>
      <c r="C1052" s="89">
        <v>2.0</v>
      </c>
      <c r="D1052" s="87" t="s">
        <v>205</v>
      </c>
      <c r="E1052" s="89">
        <v>0.0</v>
      </c>
      <c r="F1052" s="89">
        <v>1.0341</v>
      </c>
      <c r="G1052" s="89">
        <v>0.5544</v>
      </c>
      <c r="H1052" s="98"/>
      <c r="I1052" s="90">
        <f t="shared" si="1"/>
        <v>0.8652597403</v>
      </c>
      <c r="J1052" s="81">
        <f t="shared" si="2"/>
        <v>0.5361183638</v>
      </c>
    </row>
    <row r="1053">
      <c r="A1053" s="88">
        <v>44704.0</v>
      </c>
      <c r="B1053" s="89">
        <v>2021.0</v>
      </c>
      <c r="C1053" s="89">
        <v>2.0</v>
      </c>
      <c r="D1053" s="87" t="s">
        <v>204</v>
      </c>
      <c r="E1053" s="89">
        <v>1.0</v>
      </c>
      <c r="F1053" s="89">
        <v>0.4702</v>
      </c>
      <c r="G1053" s="89">
        <v>0.252</v>
      </c>
      <c r="H1053" s="98"/>
      <c r="I1053" s="90">
        <f t="shared" si="1"/>
        <v>0.8658730159</v>
      </c>
      <c r="J1053" s="81">
        <f t="shared" si="2"/>
        <v>0.5359421523</v>
      </c>
    </row>
    <row r="1054">
      <c r="A1054" s="88">
        <v>44704.0</v>
      </c>
      <c r="B1054" s="89">
        <v>2027.0</v>
      </c>
      <c r="C1054" s="89">
        <v>1.0</v>
      </c>
      <c r="D1054" s="87" t="s">
        <v>205</v>
      </c>
      <c r="E1054" s="89">
        <v>0.0</v>
      </c>
      <c r="F1054" s="89">
        <v>0.7805</v>
      </c>
      <c r="G1054" s="89">
        <v>0.418</v>
      </c>
      <c r="H1054" s="98"/>
      <c r="I1054" s="90">
        <f t="shared" si="1"/>
        <v>0.8672248804</v>
      </c>
      <c r="J1054" s="81">
        <f t="shared" si="2"/>
        <v>0.535554132</v>
      </c>
    </row>
    <row r="1055">
      <c r="A1055" s="88">
        <v>44704.0</v>
      </c>
      <c r="B1055" s="89">
        <v>2031.0</v>
      </c>
      <c r="C1055" s="89">
        <v>3.0</v>
      </c>
      <c r="D1055" s="87" t="s">
        <v>205</v>
      </c>
      <c r="E1055" s="89">
        <v>0.0</v>
      </c>
      <c r="F1055" s="89">
        <v>1.5629</v>
      </c>
      <c r="G1055" s="89">
        <v>0.837</v>
      </c>
      <c r="H1055" s="98"/>
      <c r="I1055" s="90">
        <f t="shared" si="1"/>
        <v>0.8672640382</v>
      </c>
      <c r="J1055" s="81">
        <f t="shared" si="2"/>
        <v>0.535542901</v>
      </c>
    </row>
    <row r="1056">
      <c r="A1056" s="88">
        <v>44704.0</v>
      </c>
      <c r="B1056" s="89">
        <v>2031.0</v>
      </c>
      <c r="C1056" s="89">
        <v>1.0</v>
      </c>
      <c r="D1056" s="87" t="s">
        <v>204</v>
      </c>
      <c r="E1056" s="89">
        <v>1.0</v>
      </c>
      <c r="F1056" s="89">
        <v>0.4889</v>
      </c>
      <c r="G1056" s="89">
        <v>0.2618</v>
      </c>
      <c r="H1056" s="98"/>
      <c r="I1056" s="90">
        <f t="shared" si="1"/>
        <v>0.8674560733</v>
      </c>
      <c r="J1056" s="81">
        <f t="shared" si="2"/>
        <v>0.5354878298</v>
      </c>
    </row>
    <row r="1057">
      <c r="A1057" s="88">
        <v>44704.0</v>
      </c>
      <c r="B1057" s="89">
        <v>2022.0</v>
      </c>
      <c r="C1057" s="89">
        <v>2.0</v>
      </c>
      <c r="D1057" s="87" t="s">
        <v>205</v>
      </c>
      <c r="E1057" s="89">
        <v>0.0</v>
      </c>
      <c r="F1057" s="89">
        <v>2.6489</v>
      </c>
      <c r="G1057" s="89">
        <v>1.4181</v>
      </c>
      <c r="H1057" s="98"/>
      <c r="I1057" s="90">
        <f t="shared" si="1"/>
        <v>0.8679218673</v>
      </c>
      <c r="J1057" s="81">
        <f t="shared" si="2"/>
        <v>0.535354298</v>
      </c>
    </row>
    <row r="1058">
      <c r="A1058" s="88">
        <v>44704.0</v>
      </c>
      <c r="B1058" s="89">
        <v>2021.0</v>
      </c>
      <c r="C1058" s="89">
        <v>1.0</v>
      </c>
      <c r="D1058" s="87" t="s">
        <v>204</v>
      </c>
      <c r="E1058" s="89">
        <v>1.0</v>
      </c>
      <c r="F1058" s="89">
        <v>0.0936</v>
      </c>
      <c r="G1058" s="89">
        <v>0.05</v>
      </c>
      <c r="H1058" s="87" t="s">
        <v>231</v>
      </c>
      <c r="I1058" s="90">
        <f t="shared" si="1"/>
        <v>0.872</v>
      </c>
      <c r="J1058" s="81">
        <f t="shared" si="2"/>
        <v>0.5341880342</v>
      </c>
    </row>
    <row r="1059">
      <c r="A1059" s="88">
        <v>44704.0</v>
      </c>
      <c r="B1059" s="89">
        <v>2365.0</v>
      </c>
      <c r="C1059" s="89">
        <v>1.0</v>
      </c>
      <c r="D1059" s="87" t="s">
        <v>204</v>
      </c>
      <c r="E1059" s="89">
        <v>1.0</v>
      </c>
      <c r="F1059" s="89">
        <v>0.4458</v>
      </c>
      <c r="G1059" s="89">
        <v>0.238</v>
      </c>
      <c r="H1059" s="98"/>
      <c r="I1059" s="90">
        <f t="shared" si="1"/>
        <v>0.8731092437</v>
      </c>
      <c r="J1059" s="81">
        <f t="shared" si="2"/>
        <v>0.5338716913</v>
      </c>
    </row>
    <row r="1060">
      <c r="A1060" s="88">
        <v>44704.0</v>
      </c>
      <c r="B1060" s="89">
        <v>2021.0</v>
      </c>
      <c r="C1060" s="89">
        <v>2.0</v>
      </c>
      <c r="D1060" s="87" t="s">
        <v>205</v>
      </c>
      <c r="E1060" s="89">
        <v>0.0</v>
      </c>
      <c r="F1060" s="89">
        <v>0.686</v>
      </c>
      <c r="G1060" s="89">
        <v>0.366</v>
      </c>
      <c r="H1060" s="98"/>
      <c r="I1060" s="90">
        <f t="shared" si="1"/>
        <v>0.8743169399</v>
      </c>
      <c r="J1060" s="81">
        <f t="shared" si="2"/>
        <v>0.5335276968</v>
      </c>
    </row>
    <row r="1061">
      <c r="A1061" s="88">
        <v>44704.0</v>
      </c>
      <c r="B1061" s="89">
        <v>2343.0</v>
      </c>
      <c r="C1061" s="89">
        <v>3.0</v>
      </c>
      <c r="D1061" s="87" t="s">
        <v>205</v>
      </c>
      <c r="E1061" s="89">
        <v>0.0</v>
      </c>
      <c r="F1061" s="89">
        <v>2.5116</v>
      </c>
      <c r="G1061" s="89">
        <v>1.3398</v>
      </c>
      <c r="H1061" s="98"/>
      <c r="I1061" s="90">
        <f t="shared" si="1"/>
        <v>0.8746081505</v>
      </c>
      <c r="J1061" s="81">
        <f t="shared" si="2"/>
        <v>0.5334448161</v>
      </c>
    </row>
    <row r="1062">
      <c r="A1062" s="88">
        <v>44704.0</v>
      </c>
      <c r="B1062" s="89">
        <v>2377.0</v>
      </c>
      <c r="C1062" s="89">
        <v>3.0</v>
      </c>
      <c r="D1062" s="87" t="s">
        <v>204</v>
      </c>
      <c r="E1062" s="89">
        <v>1.0</v>
      </c>
      <c r="F1062" s="89">
        <v>0.2161</v>
      </c>
      <c r="G1062" s="89">
        <v>0.115</v>
      </c>
      <c r="H1062" s="98"/>
      <c r="I1062" s="90">
        <f t="shared" si="1"/>
        <v>0.8791304348</v>
      </c>
      <c r="J1062" s="81">
        <f t="shared" si="2"/>
        <v>0.5321610366</v>
      </c>
    </row>
    <row r="1063">
      <c r="A1063" s="88">
        <v>44704.0</v>
      </c>
      <c r="B1063" s="89">
        <v>2026.0</v>
      </c>
      <c r="C1063" s="89">
        <v>2.0</v>
      </c>
      <c r="D1063" s="87" t="s">
        <v>204</v>
      </c>
      <c r="E1063" s="89">
        <v>1.0</v>
      </c>
      <c r="F1063" s="89">
        <v>0.0733</v>
      </c>
      <c r="G1063" s="89">
        <v>0.039</v>
      </c>
      <c r="H1063" s="98"/>
      <c r="I1063" s="90">
        <f t="shared" si="1"/>
        <v>0.8794871795</v>
      </c>
      <c r="J1063" s="81">
        <f t="shared" si="2"/>
        <v>0.5320600273</v>
      </c>
    </row>
    <row r="1064">
      <c r="A1064" s="88">
        <v>44704.0</v>
      </c>
      <c r="B1064" s="89">
        <v>2343.0</v>
      </c>
      <c r="C1064" s="89">
        <v>3.0</v>
      </c>
      <c r="D1064" s="87" t="s">
        <v>204</v>
      </c>
      <c r="E1064" s="89">
        <v>1.0</v>
      </c>
      <c r="F1064" s="89">
        <v>0.6992</v>
      </c>
      <c r="G1064" s="89">
        <v>0.3719</v>
      </c>
      <c r="H1064" s="98"/>
      <c r="I1064" s="90">
        <f t="shared" si="1"/>
        <v>0.8800752891</v>
      </c>
      <c r="J1064" s="81">
        <f t="shared" si="2"/>
        <v>0.5318935927</v>
      </c>
    </row>
    <row r="1065">
      <c r="A1065" s="88">
        <v>44704.0</v>
      </c>
      <c r="B1065" s="89">
        <v>2026.0</v>
      </c>
      <c r="C1065" s="89">
        <v>3.0</v>
      </c>
      <c r="D1065" s="87" t="s">
        <v>205</v>
      </c>
      <c r="E1065" s="89">
        <v>0.0</v>
      </c>
      <c r="F1065" s="89">
        <v>1.8934</v>
      </c>
      <c r="G1065" s="89">
        <v>1.0049</v>
      </c>
      <c r="H1065" s="98"/>
      <c r="I1065" s="90">
        <f t="shared" si="1"/>
        <v>0.8841675789</v>
      </c>
      <c r="J1065" s="81">
        <f t="shared" si="2"/>
        <v>0.5307383543</v>
      </c>
    </row>
    <row r="1066">
      <c r="A1066" s="88">
        <v>44704.0</v>
      </c>
      <c r="B1066" s="89">
        <v>2027.0</v>
      </c>
      <c r="C1066" s="89">
        <v>2.0</v>
      </c>
      <c r="D1066" s="87" t="s">
        <v>204</v>
      </c>
      <c r="E1066" s="89">
        <v>1.0</v>
      </c>
      <c r="F1066" s="89">
        <v>0.3379</v>
      </c>
      <c r="G1066" s="89">
        <v>0.1793</v>
      </c>
      <c r="H1066" s="98"/>
      <c r="I1066" s="90">
        <f t="shared" si="1"/>
        <v>0.8845510318</v>
      </c>
      <c r="J1066" s="81">
        <f t="shared" si="2"/>
        <v>0.530630364</v>
      </c>
    </row>
    <row r="1067">
      <c r="A1067" s="88">
        <v>44704.0</v>
      </c>
      <c r="B1067" s="89">
        <v>2343.0</v>
      </c>
      <c r="C1067" s="89">
        <v>1.0</v>
      </c>
      <c r="D1067" s="87" t="s">
        <v>204</v>
      </c>
      <c r="E1067" s="89">
        <v>1.0</v>
      </c>
      <c r="F1067" s="89">
        <v>0.1752</v>
      </c>
      <c r="G1067" s="89">
        <v>0.0929</v>
      </c>
      <c r="H1067" s="98"/>
      <c r="I1067" s="90">
        <f t="shared" si="1"/>
        <v>0.8858988159</v>
      </c>
      <c r="J1067" s="81">
        <f t="shared" si="2"/>
        <v>0.5302511416</v>
      </c>
    </row>
    <row r="1068">
      <c r="A1068" s="88">
        <v>44704.0</v>
      </c>
      <c r="B1068" s="89">
        <v>2376.0</v>
      </c>
      <c r="C1068" s="89">
        <v>1.0</v>
      </c>
      <c r="D1068" s="87" t="s">
        <v>204</v>
      </c>
      <c r="E1068" s="89">
        <v>1.0</v>
      </c>
      <c r="F1068" s="89">
        <v>0.0943</v>
      </c>
      <c r="G1068" s="89">
        <v>0.05</v>
      </c>
      <c r="H1068" s="98"/>
      <c r="I1068" s="90">
        <f t="shared" si="1"/>
        <v>0.886</v>
      </c>
      <c r="J1068" s="81">
        <f t="shared" si="2"/>
        <v>0.5302226935</v>
      </c>
    </row>
    <row r="1069">
      <c r="A1069" s="88">
        <v>44704.0</v>
      </c>
      <c r="B1069" s="89">
        <v>2030.0</v>
      </c>
      <c r="C1069" s="89">
        <v>3.0</v>
      </c>
      <c r="D1069" s="87" t="s">
        <v>204</v>
      </c>
      <c r="E1069" s="89">
        <v>1.0</v>
      </c>
      <c r="F1069" s="89">
        <v>0.7527</v>
      </c>
      <c r="G1069" s="89">
        <v>0.397</v>
      </c>
      <c r="H1069" s="98"/>
      <c r="I1069" s="90">
        <f t="shared" si="1"/>
        <v>0.8959697733</v>
      </c>
      <c r="J1069" s="81">
        <f t="shared" si="2"/>
        <v>0.5274345689</v>
      </c>
    </row>
    <row r="1070">
      <c r="A1070" s="88">
        <v>44704.0</v>
      </c>
      <c r="B1070" s="89">
        <v>2029.0</v>
      </c>
      <c r="C1070" s="89">
        <v>1.0</v>
      </c>
      <c r="D1070" s="87" t="s">
        <v>204</v>
      </c>
      <c r="E1070" s="89">
        <v>1.0</v>
      </c>
      <c r="F1070" s="89">
        <v>0.2522</v>
      </c>
      <c r="G1070" s="89">
        <v>0.133</v>
      </c>
      <c r="H1070" s="98"/>
      <c r="I1070" s="90">
        <f t="shared" si="1"/>
        <v>0.8962406015</v>
      </c>
      <c r="J1070" s="81">
        <f t="shared" si="2"/>
        <v>0.5273592387</v>
      </c>
    </row>
    <row r="1071">
      <c r="A1071" s="88">
        <v>44704.0</v>
      </c>
      <c r="B1071" s="89">
        <v>2022.0</v>
      </c>
      <c r="C1071" s="89">
        <v>3.0</v>
      </c>
      <c r="D1071" s="87" t="s">
        <v>204</v>
      </c>
      <c r="E1071" s="89">
        <v>1.0</v>
      </c>
      <c r="F1071" s="89">
        <v>0.3305</v>
      </c>
      <c r="G1071" s="89">
        <v>0.174</v>
      </c>
      <c r="H1071" s="98"/>
      <c r="I1071" s="90">
        <f t="shared" si="1"/>
        <v>0.8994252874</v>
      </c>
      <c r="J1071" s="81">
        <f t="shared" si="2"/>
        <v>0.5264750378</v>
      </c>
    </row>
    <row r="1072">
      <c r="A1072" s="88">
        <v>44704.0</v>
      </c>
      <c r="B1072" s="89">
        <v>2365.0</v>
      </c>
      <c r="C1072" s="89">
        <v>2.0</v>
      </c>
      <c r="D1072" s="87" t="s">
        <v>204</v>
      </c>
      <c r="E1072" s="89">
        <v>1.0</v>
      </c>
      <c r="F1072" s="89">
        <v>0.3289</v>
      </c>
      <c r="G1072" s="89">
        <v>0.173</v>
      </c>
      <c r="H1072" s="98"/>
      <c r="I1072" s="90">
        <f t="shared" si="1"/>
        <v>0.9011560694</v>
      </c>
      <c r="J1072" s="81">
        <f t="shared" si="2"/>
        <v>0.5259957434</v>
      </c>
    </row>
    <row r="1073">
      <c r="A1073" s="88">
        <v>44704.0</v>
      </c>
      <c r="B1073" s="89">
        <v>2031.0</v>
      </c>
      <c r="C1073" s="89">
        <v>2.0</v>
      </c>
      <c r="D1073" s="87" t="s">
        <v>204</v>
      </c>
      <c r="E1073" s="89">
        <v>1.0</v>
      </c>
      <c r="F1073" s="89">
        <v>0.3078</v>
      </c>
      <c r="G1073" s="89">
        <v>0.1617</v>
      </c>
      <c r="H1073" s="98"/>
      <c r="I1073" s="90">
        <f t="shared" si="1"/>
        <v>0.9035250464</v>
      </c>
      <c r="J1073" s="81">
        <f t="shared" si="2"/>
        <v>0.5253411306</v>
      </c>
    </row>
    <row r="1074">
      <c r="A1074" s="88">
        <v>44704.0</v>
      </c>
      <c r="B1074" s="89">
        <v>2367.0</v>
      </c>
      <c r="C1074" s="89">
        <v>3.0</v>
      </c>
      <c r="D1074" s="87" t="s">
        <v>204</v>
      </c>
      <c r="E1074" s="89">
        <v>1.0</v>
      </c>
      <c r="F1074" s="89">
        <v>0.0898</v>
      </c>
      <c r="G1074" s="89">
        <v>0.047</v>
      </c>
      <c r="H1074" s="98"/>
      <c r="I1074" s="90">
        <f t="shared" si="1"/>
        <v>0.9106382979</v>
      </c>
      <c r="J1074" s="81">
        <f t="shared" si="2"/>
        <v>0.5233853007</v>
      </c>
    </row>
    <row r="1075">
      <c r="A1075" s="88">
        <v>44704.0</v>
      </c>
      <c r="B1075" s="89">
        <v>2030.0</v>
      </c>
      <c r="C1075" s="89">
        <v>1.0</v>
      </c>
      <c r="D1075" s="87" t="s">
        <v>204</v>
      </c>
      <c r="E1075" s="89">
        <v>0.0</v>
      </c>
      <c r="F1075" s="89">
        <v>0.1739</v>
      </c>
      <c r="G1075" s="89">
        <v>0.091</v>
      </c>
      <c r="H1075" s="98"/>
      <c r="I1075" s="90">
        <f t="shared" si="1"/>
        <v>0.910989011</v>
      </c>
      <c r="J1075" s="81">
        <f t="shared" si="2"/>
        <v>0.5232892467</v>
      </c>
    </row>
    <row r="1076">
      <c r="A1076" s="88">
        <v>44704.0</v>
      </c>
      <c r="B1076" s="89">
        <v>2360.0</v>
      </c>
      <c r="C1076" s="89">
        <v>3.0</v>
      </c>
      <c r="D1076" s="87" t="s">
        <v>204</v>
      </c>
      <c r="E1076" s="89">
        <v>0.0</v>
      </c>
      <c r="F1076" s="89">
        <v>0.3085</v>
      </c>
      <c r="G1076" s="89">
        <v>0.161</v>
      </c>
      <c r="H1076" s="98"/>
      <c r="I1076" s="90">
        <f t="shared" si="1"/>
        <v>0.9161490683</v>
      </c>
      <c r="J1076" s="81">
        <f t="shared" si="2"/>
        <v>0.5218800648</v>
      </c>
    </row>
    <row r="1077">
      <c r="A1077" s="88">
        <v>44704.0</v>
      </c>
      <c r="B1077" s="89">
        <v>2384.0</v>
      </c>
      <c r="C1077" s="89">
        <v>3.0</v>
      </c>
      <c r="D1077" s="87" t="s">
        <v>205</v>
      </c>
      <c r="E1077" s="89">
        <v>0.0</v>
      </c>
      <c r="F1077" s="89">
        <v>0.5175</v>
      </c>
      <c r="G1077" s="89">
        <v>0.27</v>
      </c>
      <c r="H1077" s="98"/>
      <c r="I1077" s="90">
        <f t="shared" si="1"/>
        <v>0.9166666667</v>
      </c>
      <c r="J1077" s="81">
        <f t="shared" si="2"/>
        <v>0.5217391304</v>
      </c>
    </row>
    <row r="1078">
      <c r="A1078" s="88">
        <v>44704.0</v>
      </c>
      <c r="B1078" s="89">
        <v>2029.0</v>
      </c>
      <c r="C1078" s="89">
        <v>2.0</v>
      </c>
      <c r="D1078" s="87" t="s">
        <v>204</v>
      </c>
      <c r="E1078" s="89">
        <v>0.0</v>
      </c>
      <c r="F1078" s="89">
        <v>0.1515</v>
      </c>
      <c r="G1078" s="89">
        <v>0.079</v>
      </c>
      <c r="H1078" s="98"/>
      <c r="I1078" s="90">
        <f t="shared" si="1"/>
        <v>0.917721519</v>
      </c>
      <c r="J1078" s="81">
        <f t="shared" si="2"/>
        <v>0.5214521452</v>
      </c>
    </row>
    <row r="1079">
      <c r="A1079" s="88">
        <v>44704.0</v>
      </c>
      <c r="B1079" s="89">
        <v>2027.0</v>
      </c>
      <c r="C1079" s="89">
        <v>2.0</v>
      </c>
      <c r="D1079" s="87" t="s">
        <v>205</v>
      </c>
      <c r="E1079" s="89">
        <v>0.0</v>
      </c>
      <c r="F1079" s="89">
        <v>1.1069</v>
      </c>
      <c r="G1079" s="89">
        <v>0.5771</v>
      </c>
      <c r="H1079" s="98"/>
      <c r="I1079" s="90">
        <f t="shared" si="1"/>
        <v>0.9180384682</v>
      </c>
      <c r="J1079" s="81">
        <f t="shared" si="2"/>
        <v>0.5213659771</v>
      </c>
    </row>
    <row r="1080">
      <c r="A1080" s="88">
        <v>44704.0</v>
      </c>
      <c r="B1080" s="89">
        <v>2022.0</v>
      </c>
      <c r="C1080" s="89">
        <v>2.0</v>
      </c>
      <c r="D1080" s="87" t="s">
        <v>204</v>
      </c>
      <c r="E1080" s="89">
        <v>1.0</v>
      </c>
      <c r="F1080" s="89">
        <v>0.2725</v>
      </c>
      <c r="G1080" s="89">
        <v>0.142</v>
      </c>
      <c r="H1080" s="98"/>
      <c r="I1080" s="90">
        <f t="shared" si="1"/>
        <v>0.9190140845</v>
      </c>
      <c r="J1080" s="81">
        <f t="shared" si="2"/>
        <v>0.5211009174</v>
      </c>
    </row>
    <row r="1081">
      <c r="A1081" s="88">
        <v>44704.0</v>
      </c>
      <c r="B1081" s="89">
        <v>2384.0</v>
      </c>
      <c r="C1081" s="89">
        <v>3.0</v>
      </c>
      <c r="D1081" s="87" t="s">
        <v>204</v>
      </c>
      <c r="E1081" s="89">
        <v>1.0</v>
      </c>
      <c r="F1081" s="89">
        <v>0.1037</v>
      </c>
      <c r="G1081" s="89">
        <v>0.054</v>
      </c>
      <c r="H1081" s="98"/>
      <c r="I1081" s="90">
        <f t="shared" si="1"/>
        <v>0.9203703704</v>
      </c>
      <c r="J1081" s="81">
        <f t="shared" si="2"/>
        <v>0.5207328833</v>
      </c>
    </row>
    <row r="1082">
      <c r="A1082" s="88">
        <v>44704.0</v>
      </c>
      <c r="B1082" s="89">
        <v>2028.0</v>
      </c>
      <c r="C1082" s="89">
        <v>1.0</v>
      </c>
      <c r="D1082" s="87" t="s">
        <v>204</v>
      </c>
      <c r="E1082" s="89">
        <v>1.0</v>
      </c>
      <c r="F1082" s="89">
        <v>0.2114</v>
      </c>
      <c r="G1082" s="89">
        <v>0.11</v>
      </c>
      <c r="H1082" s="98"/>
      <c r="I1082" s="90">
        <f t="shared" si="1"/>
        <v>0.9218181818</v>
      </c>
      <c r="J1082" s="81">
        <f t="shared" si="2"/>
        <v>0.5203405866</v>
      </c>
    </row>
    <row r="1083">
      <c r="A1083" s="88">
        <v>44704.0</v>
      </c>
      <c r="B1083" s="89">
        <v>2029.0</v>
      </c>
      <c r="C1083" s="89">
        <v>1.0</v>
      </c>
      <c r="D1083" s="87" t="s">
        <v>204</v>
      </c>
      <c r="E1083" s="89">
        <v>0.0</v>
      </c>
      <c r="F1083" s="89">
        <v>0.0817</v>
      </c>
      <c r="G1083" s="89">
        <v>0.0425</v>
      </c>
      <c r="H1083" s="98"/>
      <c r="I1083" s="90">
        <f t="shared" si="1"/>
        <v>0.9223529412</v>
      </c>
      <c r="J1083" s="81">
        <f t="shared" si="2"/>
        <v>0.5201958384</v>
      </c>
    </row>
    <row r="1084">
      <c r="A1084" s="88">
        <v>44704.0</v>
      </c>
      <c r="B1084" s="89">
        <v>2083.0</v>
      </c>
      <c r="C1084" s="89">
        <v>2.0</v>
      </c>
      <c r="D1084" s="87" t="s">
        <v>204</v>
      </c>
      <c r="E1084" s="89">
        <v>0.0</v>
      </c>
      <c r="F1084" s="89">
        <v>0.05</v>
      </c>
      <c r="G1084" s="89">
        <v>0.026</v>
      </c>
      <c r="H1084" s="98"/>
      <c r="I1084" s="90">
        <f t="shared" si="1"/>
        <v>0.9230769231</v>
      </c>
      <c r="J1084" s="81">
        <f t="shared" si="2"/>
        <v>0.52</v>
      </c>
    </row>
    <row r="1085">
      <c r="A1085" s="88">
        <v>44704.0</v>
      </c>
      <c r="B1085" s="89">
        <v>2026.0</v>
      </c>
      <c r="C1085" s="89">
        <v>3.0</v>
      </c>
      <c r="D1085" s="87" t="s">
        <v>204</v>
      </c>
      <c r="E1085" s="89">
        <v>1.0</v>
      </c>
      <c r="F1085" s="89">
        <v>0.2891</v>
      </c>
      <c r="G1085" s="89">
        <v>0.1502</v>
      </c>
      <c r="H1085" s="98"/>
      <c r="I1085" s="90">
        <f t="shared" si="1"/>
        <v>0.9247669774</v>
      </c>
      <c r="J1085" s="81">
        <f t="shared" si="2"/>
        <v>0.5195434106</v>
      </c>
    </row>
    <row r="1086">
      <c r="A1086" s="88">
        <v>44704.0</v>
      </c>
      <c r="B1086" s="89">
        <v>2021.0</v>
      </c>
      <c r="C1086" s="89">
        <v>3.0</v>
      </c>
      <c r="D1086" s="87" t="s">
        <v>204</v>
      </c>
      <c r="E1086" s="89">
        <v>1.0</v>
      </c>
      <c r="F1086" s="89">
        <v>0.3031</v>
      </c>
      <c r="G1086" s="89">
        <v>0.1574</v>
      </c>
      <c r="H1086" s="98"/>
      <c r="I1086" s="90">
        <f t="shared" si="1"/>
        <v>0.9256670902</v>
      </c>
      <c r="J1086" s="81">
        <f t="shared" si="2"/>
        <v>0.5193005609</v>
      </c>
    </row>
    <row r="1087">
      <c r="A1087" s="88">
        <v>44704.0</v>
      </c>
      <c r="B1087" s="89">
        <v>2083.0</v>
      </c>
      <c r="C1087" s="89">
        <v>1.0</v>
      </c>
      <c r="D1087" s="87" t="s">
        <v>204</v>
      </c>
      <c r="E1087" s="89">
        <v>0.0</v>
      </c>
      <c r="F1087" s="89">
        <v>0.1909</v>
      </c>
      <c r="G1087" s="89">
        <v>0.099</v>
      </c>
      <c r="H1087" s="98"/>
      <c r="I1087" s="90">
        <f t="shared" si="1"/>
        <v>0.9282828283</v>
      </c>
      <c r="J1087" s="81">
        <f t="shared" si="2"/>
        <v>0.5185961236</v>
      </c>
    </row>
    <row r="1088">
      <c r="A1088" s="88">
        <v>44704.0</v>
      </c>
      <c r="B1088" s="89">
        <v>2031.0</v>
      </c>
      <c r="C1088" s="89">
        <v>3.0</v>
      </c>
      <c r="D1088" s="87" t="s">
        <v>204</v>
      </c>
      <c r="E1088" s="89">
        <v>1.0</v>
      </c>
      <c r="F1088" s="89">
        <v>0.092</v>
      </c>
      <c r="G1088" s="89">
        <v>0.0476</v>
      </c>
      <c r="H1088" s="98"/>
      <c r="I1088" s="90">
        <f t="shared" si="1"/>
        <v>0.9327731092</v>
      </c>
      <c r="J1088" s="81">
        <f t="shared" si="2"/>
        <v>0.5173913043</v>
      </c>
    </row>
    <row r="1089">
      <c r="A1089" s="88">
        <v>44704.0</v>
      </c>
      <c r="B1089" s="89">
        <v>2028.0</v>
      </c>
      <c r="C1089" s="89">
        <v>2.0</v>
      </c>
      <c r="D1089" s="87" t="s">
        <v>204</v>
      </c>
      <c r="E1089" s="89">
        <v>1.0</v>
      </c>
      <c r="F1089" s="89">
        <v>0.1087</v>
      </c>
      <c r="G1089" s="89">
        <v>0.0562</v>
      </c>
      <c r="H1089" s="98"/>
      <c r="I1089" s="90">
        <f t="shared" si="1"/>
        <v>0.9341637011</v>
      </c>
      <c r="J1089" s="81">
        <f t="shared" si="2"/>
        <v>0.5170193192</v>
      </c>
    </row>
    <row r="1090">
      <c r="A1090" s="88">
        <v>44704.0</v>
      </c>
      <c r="B1090" s="89">
        <v>2360.0</v>
      </c>
      <c r="C1090" s="89">
        <v>1.0</v>
      </c>
      <c r="D1090" s="87" t="s">
        <v>204</v>
      </c>
      <c r="E1090" s="89">
        <v>1.0</v>
      </c>
      <c r="F1090" s="89">
        <v>0.1567</v>
      </c>
      <c r="G1090" s="89">
        <v>0.081</v>
      </c>
      <c r="H1090" s="98"/>
      <c r="I1090" s="90">
        <f t="shared" si="1"/>
        <v>0.9345679012</v>
      </c>
      <c r="J1090" s="81">
        <f t="shared" si="2"/>
        <v>0.5169112955</v>
      </c>
    </row>
    <row r="1091">
      <c r="A1091" s="88">
        <v>44704.0</v>
      </c>
      <c r="B1091" s="89">
        <v>2031.0</v>
      </c>
      <c r="C1091" s="89">
        <v>3.0</v>
      </c>
      <c r="D1091" s="87" t="s">
        <v>204</v>
      </c>
      <c r="E1091" s="89">
        <v>1.0</v>
      </c>
      <c r="F1091" s="89">
        <v>0.5695</v>
      </c>
      <c r="G1091" s="89">
        <v>0.2941</v>
      </c>
      <c r="H1091" s="98"/>
      <c r="I1091" s="90">
        <f t="shared" si="1"/>
        <v>0.936416185</v>
      </c>
      <c r="J1091" s="81">
        <f t="shared" si="2"/>
        <v>0.5164179104</v>
      </c>
    </row>
    <row r="1092">
      <c r="A1092" s="88">
        <v>44704.0</v>
      </c>
      <c r="B1092" s="89">
        <v>2367.0</v>
      </c>
      <c r="C1092" s="89">
        <v>1.0</v>
      </c>
      <c r="D1092" s="87" t="s">
        <v>204</v>
      </c>
      <c r="E1092" s="89">
        <v>1.0</v>
      </c>
      <c r="F1092" s="89">
        <v>0.3452</v>
      </c>
      <c r="G1092" s="89">
        <v>0.178</v>
      </c>
      <c r="H1092" s="98"/>
      <c r="I1092" s="90">
        <f t="shared" si="1"/>
        <v>0.9393258427</v>
      </c>
      <c r="J1092" s="81">
        <f t="shared" si="2"/>
        <v>0.5156431054</v>
      </c>
    </row>
    <row r="1093">
      <c r="A1093" s="88">
        <v>44704.0</v>
      </c>
      <c r="B1093" s="89">
        <v>2367.0</v>
      </c>
      <c r="C1093" s="89">
        <v>1.0</v>
      </c>
      <c r="D1093" s="87" t="s">
        <v>205</v>
      </c>
      <c r="E1093" s="89">
        <v>0.0</v>
      </c>
      <c r="F1093" s="89">
        <v>0.5783</v>
      </c>
      <c r="G1093" s="89">
        <v>0.298</v>
      </c>
      <c r="H1093" s="98"/>
      <c r="I1093" s="90">
        <f t="shared" si="1"/>
        <v>0.9406040268</v>
      </c>
      <c r="J1093" s="81">
        <f t="shared" si="2"/>
        <v>0.5153034757</v>
      </c>
    </row>
    <row r="1094">
      <c r="A1094" s="88">
        <v>44704.0</v>
      </c>
      <c r="B1094" s="89">
        <v>2384.0</v>
      </c>
      <c r="C1094" s="89">
        <v>2.0</v>
      </c>
      <c r="D1094" s="87" t="s">
        <v>204</v>
      </c>
      <c r="E1094" s="89">
        <v>0.0</v>
      </c>
      <c r="F1094" s="89">
        <v>0.1419</v>
      </c>
      <c r="G1094" s="89">
        <v>0.0728</v>
      </c>
      <c r="H1094" s="98"/>
      <c r="I1094" s="90">
        <f t="shared" si="1"/>
        <v>0.9491758242</v>
      </c>
      <c r="J1094" s="81">
        <f t="shared" si="2"/>
        <v>0.5130373502</v>
      </c>
    </row>
    <row r="1095">
      <c r="A1095" s="88">
        <v>44704.0</v>
      </c>
      <c r="B1095" s="89">
        <v>2360.0</v>
      </c>
      <c r="C1095" s="89">
        <v>3.0</v>
      </c>
      <c r="D1095" s="87" t="s">
        <v>205</v>
      </c>
      <c r="E1095" s="89">
        <v>0.0</v>
      </c>
      <c r="F1095" s="89">
        <v>2.0829</v>
      </c>
      <c r="G1095" s="89">
        <v>1.067</v>
      </c>
      <c r="H1095" s="98"/>
      <c r="I1095" s="90">
        <f t="shared" si="1"/>
        <v>0.952108716</v>
      </c>
      <c r="J1095" s="81">
        <f t="shared" si="2"/>
        <v>0.5122665514</v>
      </c>
    </row>
    <row r="1096">
      <c r="A1096" s="88">
        <v>44704.0</v>
      </c>
      <c r="B1096" s="89">
        <v>2365.0</v>
      </c>
      <c r="C1096" s="89">
        <v>1.0</v>
      </c>
      <c r="D1096" s="87" t="s">
        <v>204</v>
      </c>
      <c r="E1096" s="89">
        <v>0.0</v>
      </c>
      <c r="F1096" s="89">
        <v>0.0782</v>
      </c>
      <c r="G1096" s="89">
        <v>0.04</v>
      </c>
      <c r="H1096" s="98"/>
      <c r="I1096" s="90">
        <f t="shared" si="1"/>
        <v>0.955</v>
      </c>
      <c r="J1096" s="81">
        <f t="shared" si="2"/>
        <v>0.5115089514</v>
      </c>
    </row>
    <row r="1097">
      <c r="A1097" s="88">
        <v>44704.0</v>
      </c>
      <c r="B1097" s="89">
        <v>2360.0</v>
      </c>
      <c r="C1097" s="89">
        <v>1.0</v>
      </c>
      <c r="D1097" s="87" t="s">
        <v>205</v>
      </c>
      <c r="E1097" s="89">
        <v>0.0</v>
      </c>
      <c r="F1097" s="89">
        <v>0.9726</v>
      </c>
      <c r="G1097" s="89">
        <v>0.497</v>
      </c>
      <c r="H1097" s="98"/>
      <c r="I1097" s="90">
        <f t="shared" si="1"/>
        <v>0.9569416499</v>
      </c>
      <c r="J1097" s="81">
        <f t="shared" si="2"/>
        <v>0.5110014394</v>
      </c>
    </row>
    <row r="1098">
      <c r="A1098" s="88">
        <v>44704.0</v>
      </c>
      <c r="B1098" s="89">
        <v>2365.0</v>
      </c>
      <c r="C1098" s="89">
        <v>3.0</v>
      </c>
      <c r="D1098" s="87" t="s">
        <v>205</v>
      </c>
      <c r="E1098" s="89">
        <v>0.0</v>
      </c>
      <c r="F1098" s="89">
        <v>0.7149</v>
      </c>
      <c r="G1098" s="89">
        <v>0.363</v>
      </c>
      <c r="H1098" s="98"/>
      <c r="I1098" s="90">
        <f t="shared" si="1"/>
        <v>0.9694214876</v>
      </c>
      <c r="J1098" s="81">
        <f t="shared" si="2"/>
        <v>0.5077633235</v>
      </c>
    </row>
    <row r="1099">
      <c r="A1099" s="88">
        <v>44704.0</v>
      </c>
      <c r="B1099" s="89">
        <v>2021.0</v>
      </c>
      <c r="C1099" s="89">
        <v>3.0</v>
      </c>
      <c r="D1099" s="87" t="s">
        <v>205</v>
      </c>
      <c r="E1099" s="89">
        <v>0.0</v>
      </c>
      <c r="F1099" s="89">
        <v>0.5872</v>
      </c>
      <c r="G1099" s="89">
        <v>0.298</v>
      </c>
      <c r="H1099" s="98"/>
      <c r="I1099" s="90">
        <f t="shared" si="1"/>
        <v>0.9704697987</v>
      </c>
      <c r="J1099" s="81">
        <f t="shared" si="2"/>
        <v>0.507493188</v>
      </c>
    </row>
    <row r="1100">
      <c r="A1100" s="88">
        <v>44704.0</v>
      </c>
      <c r="B1100" s="89">
        <v>2365.0</v>
      </c>
      <c r="C1100" s="89">
        <v>1.0</v>
      </c>
      <c r="D1100" s="87" t="s">
        <v>205</v>
      </c>
      <c r="E1100" s="89">
        <v>0.0</v>
      </c>
      <c r="F1100" s="89">
        <v>0.8296</v>
      </c>
      <c r="G1100" s="89">
        <v>0.421</v>
      </c>
      <c r="H1100" s="98"/>
      <c r="I1100" s="90">
        <f t="shared" si="1"/>
        <v>0.9705463183</v>
      </c>
      <c r="J1100" s="81">
        <f t="shared" si="2"/>
        <v>0.5074734812</v>
      </c>
    </row>
    <row r="1101">
      <c r="A1101" s="88">
        <v>44704.0</v>
      </c>
      <c r="B1101" s="89">
        <v>2343.0</v>
      </c>
      <c r="C1101" s="89">
        <v>2.0</v>
      </c>
      <c r="D1101" s="87" t="s">
        <v>204</v>
      </c>
      <c r="E1101" s="89">
        <v>1.0</v>
      </c>
      <c r="F1101" s="89">
        <v>0.0749</v>
      </c>
      <c r="G1101" s="89">
        <v>0.038</v>
      </c>
      <c r="H1101" s="98"/>
      <c r="I1101" s="90">
        <f t="shared" si="1"/>
        <v>0.9710526316</v>
      </c>
      <c r="J1101" s="81">
        <f t="shared" si="2"/>
        <v>0.5073431242</v>
      </c>
    </row>
    <row r="1102">
      <c r="A1102" s="88">
        <v>44704.0</v>
      </c>
      <c r="B1102" s="89">
        <v>2027.0</v>
      </c>
      <c r="C1102" s="89">
        <v>1.0</v>
      </c>
      <c r="D1102" s="87" t="s">
        <v>204</v>
      </c>
      <c r="E1102" s="89">
        <v>0.0</v>
      </c>
      <c r="F1102" s="89">
        <v>0.1203</v>
      </c>
      <c r="G1102" s="89">
        <v>0.061</v>
      </c>
      <c r="H1102" s="98"/>
      <c r="I1102" s="90">
        <f t="shared" si="1"/>
        <v>0.9721311475</v>
      </c>
      <c r="J1102" s="81">
        <f t="shared" si="2"/>
        <v>0.5070656692</v>
      </c>
    </row>
    <row r="1103">
      <c r="A1103" s="88">
        <v>44704.0</v>
      </c>
      <c r="B1103" s="89">
        <v>2027.0</v>
      </c>
      <c r="C1103" s="89">
        <v>2.0</v>
      </c>
      <c r="D1103" s="87" t="s">
        <v>204</v>
      </c>
      <c r="E1103" s="89">
        <v>0.0</v>
      </c>
      <c r="F1103" s="89">
        <v>0.1026</v>
      </c>
      <c r="G1103" s="89">
        <v>0.052</v>
      </c>
      <c r="H1103" s="98"/>
      <c r="I1103" s="90">
        <f t="shared" si="1"/>
        <v>0.9730769231</v>
      </c>
      <c r="J1103" s="81">
        <f t="shared" si="2"/>
        <v>0.5068226121</v>
      </c>
    </row>
    <row r="1104">
      <c r="A1104" s="88">
        <v>44704.0</v>
      </c>
      <c r="B1104" s="89">
        <v>2377.0</v>
      </c>
      <c r="C1104" s="89">
        <v>2.0</v>
      </c>
      <c r="D1104" s="87" t="s">
        <v>204</v>
      </c>
      <c r="E1104" s="89">
        <v>1.0</v>
      </c>
      <c r="F1104" s="89">
        <v>0.223</v>
      </c>
      <c r="G1104" s="89">
        <v>0.113</v>
      </c>
      <c r="H1104" s="98"/>
      <c r="I1104" s="90">
        <f t="shared" si="1"/>
        <v>0.9734513274</v>
      </c>
      <c r="J1104" s="81">
        <f t="shared" si="2"/>
        <v>0.5067264574</v>
      </c>
    </row>
    <row r="1105">
      <c r="A1105" s="88">
        <v>44704.0</v>
      </c>
      <c r="B1105" s="89">
        <v>2365.0</v>
      </c>
      <c r="C1105" s="89">
        <v>2.0</v>
      </c>
      <c r="D1105" s="87" t="s">
        <v>205</v>
      </c>
      <c r="E1105" s="89">
        <v>0.0</v>
      </c>
      <c r="F1105" s="89">
        <v>0.8668</v>
      </c>
      <c r="G1105" s="89">
        <v>0.439</v>
      </c>
      <c r="H1105" s="98"/>
      <c r="I1105" s="90">
        <f t="shared" si="1"/>
        <v>0.9744874715</v>
      </c>
      <c r="J1105" s="81">
        <f t="shared" si="2"/>
        <v>0.5064605445</v>
      </c>
    </row>
    <row r="1106">
      <c r="A1106" s="88">
        <v>44704.0</v>
      </c>
      <c r="B1106" s="89">
        <v>2384.0</v>
      </c>
      <c r="C1106" s="89">
        <v>1.0</v>
      </c>
      <c r="D1106" s="87" t="s">
        <v>204</v>
      </c>
      <c r="E1106" s="89">
        <v>0.0</v>
      </c>
      <c r="F1106" s="89">
        <v>0.0857</v>
      </c>
      <c r="G1106" s="89">
        <v>0.0433</v>
      </c>
      <c r="H1106" s="98"/>
      <c r="I1106" s="90">
        <f t="shared" si="1"/>
        <v>0.9792147806</v>
      </c>
      <c r="J1106" s="81">
        <f t="shared" si="2"/>
        <v>0.5052508751</v>
      </c>
    </row>
    <row r="1107">
      <c r="A1107" s="88">
        <v>44704.0</v>
      </c>
      <c r="B1107" s="89">
        <v>2377.0</v>
      </c>
      <c r="C1107" s="89">
        <v>1.0</v>
      </c>
      <c r="D1107" s="87" t="s">
        <v>204</v>
      </c>
      <c r="E1107" s="89">
        <v>1.0</v>
      </c>
      <c r="F1107" s="89">
        <v>0.7641</v>
      </c>
      <c r="G1107" s="89">
        <v>0.386</v>
      </c>
      <c r="H1107" s="98"/>
      <c r="I1107" s="90">
        <f t="shared" si="1"/>
        <v>0.9795336788</v>
      </c>
      <c r="J1107" s="81">
        <f t="shared" si="2"/>
        <v>0.5051694804</v>
      </c>
    </row>
    <row r="1108">
      <c r="A1108" s="88">
        <v>44704.0</v>
      </c>
      <c r="B1108" s="89">
        <v>2028.0</v>
      </c>
      <c r="C1108" s="89">
        <v>1.0</v>
      </c>
      <c r="D1108" s="87" t="s">
        <v>204</v>
      </c>
      <c r="E1108" s="89">
        <v>0.0</v>
      </c>
      <c r="F1108" s="89">
        <v>0.0592</v>
      </c>
      <c r="G1108" s="89">
        <v>0.0299</v>
      </c>
      <c r="H1108" s="98"/>
      <c r="I1108" s="90">
        <f t="shared" si="1"/>
        <v>0.9799331104</v>
      </c>
      <c r="J1108" s="81">
        <f t="shared" si="2"/>
        <v>0.5050675676</v>
      </c>
    </row>
    <row r="1109">
      <c r="A1109" s="88">
        <v>44704.0</v>
      </c>
      <c r="B1109" s="89">
        <v>2027.0</v>
      </c>
      <c r="C1109" s="89">
        <v>3.0</v>
      </c>
      <c r="D1109" s="87" t="s">
        <v>204</v>
      </c>
      <c r="E1109" s="89">
        <v>1.0</v>
      </c>
      <c r="F1109" s="89">
        <v>0.5064</v>
      </c>
      <c r="G1109" s="89">
        <v>0.255</v>
      </c>
      <c r="H1109" s="98"/>
      <c r="I1109" s="90">
        <f t="shared" si="1"/>
        <v>0.9858823529</v>
      </c>
      <c r="J1109" s="81">
        <f t="shared" si="2"/>
        <v>0.5035545024</v>
      </c>
    </row>
    <row r="1110">
      <c r="A1110" s="88">
        <v>44704.0</v>
      </c>
      <c r="B1110" s="89">
        <v>2027.0</v>
      </c>
      <c r="C1110" s="89">
        <v>3.0</v>
      </c>
      <c r="D1110" s="87" t="s">
        <v>204</v>
      </c>
      <c r="E1110" s="89">
        <v>1.0</v>
      </c>
      <c r="F1110" s="89">
        <v>0.5064</v>
      </c>
      <c r="G1110" s="89">
        <v>0.255</v>
      </c>
      <c r="H1110" s="98"/>
      <c r="I1110" s="90">
        <f t="shared" si="1"/>
        <v>0.9858823529</v>
      </c>
      <c r="J1110" s="81">
        <f t="shared" si="2"/>
        <v>0.5035545024</v>
      </c>
    </row>
    <row r="1111">
      <c r="A1111" s="88">
        <v>44704.0</v>
      </c>
      <c r="B1111" s="89">
        <v>2343.0</v>
      </c>
      <c r="C1111" s="89">
        <v>2.0</v>
      </c>
      <c r="D1111" s="87" t="s">
        <v>204</v>
      </c>
      <c r="E1111" s="89">
        <v>0.0</v>
      </c>
      <c r="F1111" s="89">
        <v>0.2424</v>
      </c>
      <c r="G1111" s="89">
        <v>0.1219</v>
      </c>
      <c r="H1111" s="98"/>
      <c r="I1111" s="90">
        <f t="shared" si="1"/>
        <v>0.9885151764</v>
      </c>
      <c r="J1111" s="81">
        <f t="shared" si="2"/>
        <v>0.5028877888</v>
      </c>
    </row>
    <row r="1112">
      <c r="A1112" s="88">
        <v>44704.0</v>
      </c>
      <c r="B1112" s="89">
        <v>2367.0</v>
      </c>
      <c r="C1112" s="89">
        <v>3.0</v>
      </c>
      <c r="D1112" s="87" t="s">
        <v>205</v>
      </c>
      <c r="E1112" s="89">
        <v>0.0</v>
      </c>
      <c r="F1112" s="89">
        <v>0.8929</v>
      </c>
      <c r="G1112" s="89">
        <v>0.449</v>
      </c>
      <c r="H1112" s="98"/>
      <c r="I1112" s="90">
        <f t="shared" si="1"/>
        <v>0.9886414254</v>
      </c>
      <c r="J1112" s="81">
        <f t="shared" si="2"/>
        <v>0.5028558629</v>
      </c>
    </row>
    <row r="1113">
      <c r="A1113" s="88">
        <v>44704.0</v>
      </c>
      <c r="B1113" s="89">
        <v>2028.0</v>
      </c>
      <c r="C1113" s="89">
        <v>3.0</v>
      </c>
      <c r="D1113" s="87" t="s">
        <v>204</v>
      </c>
      <c r="E1113" s="89">
        <v>0.0</v>
      </c>
      <c r="F1113" s="89">
        <v>0.1711</v>
      </c>
      <c r="G1113" s="89">
        <v>0.086</v>
      </c>
      <c r="H1113" s="98"/>
      <c r="I1113" s="90">
        <f t="shared" si="1"/>
        <v>0.9895348837</v>
      </c>
      <c r="J1113" s="81">
        <f t="shared" si="2"/>
        <v>0.5026300409</v>
      </c>
    </row>
    <row r="1114">
      <c r="A1114" s="88">
        <v>44704.0</v>
      </c>
      <c r="B1114" s="89">
        <v>2027.0</v>
      </c>
      <c r="C1114" s="89">
        <v>3.0</v>
      </c>
      <c r="D1114" s="87" t="s">
        <v>205</v>
      </c>
      <c r="E1114" s="89">
        <v>0.0</v>
      </c>
      <c r="F1114" s="89">
        <v>1.9161</v>
      </c>
      <c r="G1114" s="89">
        <v>0.963</v>
      </c>
      <c r="H1114" s="98"/>
      <c r="I1114" s="90">
        <f t="shared" si="1"/>
        <v>0.9897196262</v>
      </c>
      <c r="J1114" s="81">
        <f t="shared" si="2"/>
        <v>0.5025833725</v>
      </c>
    </row>
    <row r="1115">
      <c r="A1115" s="88">
        <v>44704.0</v>
      </c>
      <c r="B1115" s="89">
        <v>2031.0</v>
      </c>
      <c r="C1115" s="89">
        <v>2.0</v>
      </c>
      <c r="D1115" s="87" t="s">
        <v>204</v>
      </c>
      <c r="E1115" s="89">
        <v>0.0</v>
      </c>
      <c r="F1115" s="89">
        <v>0.0635</v>
      </c>
      <c r="G1115" s="89">
        <v>0.0319</v>
      </c>
      <c r="H1115" s="98"/>
      <c r="I1115" s="90">
        <f t="shared" si="1"/>
        <v>0.9905956113</v>
      </c>
      <c r="J1115" s="81">
        <f t="shared" si="2"/>
        <v>0.5023622047</v>
      </c>
    </row>
    <row r="1116">
      <c r="A1116" s="88">
        <v>44704.0</v>
      </c>
      <c r="B1116" s="89">
        <v>2343.0</v>
      </c>
      <c r="C1116" s="89">
        <v>3.0</v>
      </c>
      <c r="D1116" s="87" t="s">
        <v>204</v>
      </c>
      <c r="E1116" s="89">
        <v>0.0</v>
      </c>
      <c r="F1116" s="89">
        <v>0.3521</v>
      </c>
      <c r="G1116" s="89">
        <v>0.1765</v>
      </c>
      <c r="H1116" s="98"/>
      <c r="I1116" s="90">
        <f t="shared" si="1"/>
        <v>0.9949008499</v>
      </c>
      <c r="J1116" s="81">
        <f t="shared" si="2"/>
        <v>0.501278046</v>
      </c>
    </row>
    <row r="1117">
      <c r="A1117" s="88">
        <v>44704.0</v>
      </c>
      <c r="B1117" s="89">
        <v>2028.0</v>
      </c>
      <c r="C1117" s="89">
        <v>3.0</v>
      </c>
      <c r="D1117" s="87" t="s">
        <v>204</v>
      </c>
      <c r="E1117" s="89">
        <v>1.0</v>
      </c>
      <c r="F1117" s="89">
        <v>0.3053</v>
      </c>
      <c r="G1117" s="89">
        <v>0.153</v>
      </c>
      <c r="H1117" s="98"/>
      <c r="I1117" s="90">
        <f t="shared" si="1"/>
        <v>0.9954248366</v>
      </c>
      <c r="J1117" s="81">
        <f t="shared" si="2"/>
        <v>0.5011464134</v>
      </c>
    </row>
    <row r="1118">
      <c r="A1118" s="88">
        <v>44704.0</v>
      </c>
      <c r="B1118" s="89">
        <v>2031.0</v>
      </c>
      <c r="C1118" s="89">
        <v>1.0</v>
      </c>
      <c r="D1118" s="87" t="s">
        <v>204</v>
      </c>
      <c r="E1118" s="89">
        <v>0.0</v>
      </c>
      <c r="F1118" s="89">
        <v>0.116</v>
      </c>
      <c r="G1118" s="89">
        <v>0.058</v>
      </c>
      <c r="H1118" s="98"/>
      <c r="I1118" s="90">
        <f t="shared" si="1"/>
        <v>1</v>
      </c>
      <c r="J1118" s="81">
        <f t="shared" si="2"/>
        <v>0.5</v>
      </c>
    </row>
    <row r="1119">
      <c r="A1119" s="88">
        <v>44704.0</v>
      </c>
      <c r="B1119" s="89">
        <v>2367.0</v>
      </c>
      <c r="C1119" s="89">
        <v>1.0</v>
      </c>
      <c r="D1119" s="87" t="s">
        <v>204</v>
      </c>
      <c r="E1119" s="89">
        <v>0.0</v>
      </c>
      <c r="F1119" s="89">
        <v>0.074</v>
      </c>
      <c r="G1119" s="89">
        <v>0.037</v>
      </c>
      <c r="H1119" s="98"/>
      <c r="I1119" s="90">
        <f t="shared" si="1"/>
        <v>1</v>
      </c>
      <c r="J1119" s="81">
        <f t="shared" si="2"/>
        <v>0.5</v>
      </c>
    </row>
    <row r="1120">
      <c r="A1120" s="88">
        <v>44704.0</v>
      </c>
      <c r="B1120" s="89">
        <v>2367.0</v>
      </c>
      <c r="C1120" s="89">
        <v>3.0</v>
      </c>
      <c r="D1120" s="87" t="s">
        <v>204</v>
      </c>
      <c r="E1120" s="89">
        <v>0.0</v>
      </c>
      <c r="F1120" s="89">
        <v>0.1401</v>
      </c>
      <c r="G1120" s="89">
        <v>0.07</v>
      </c>
      <c r="H1120" s="98"/>
      <c r="I1120" s="90">
        <f t="shared" si="1"/>
        <v>1.001428571</v>
      </c>
      <c r="J1120" s="81">
        <f t="shared" si="2"/>
        <v>0.4996431121</v>
      </c>
    </row>
    <row r="1121">
      <c r="A1121" s="88">
        <v>44704.0</v>
      </c>
      <c r="B1121" s="89">
        <v>2360.0</v>
      </c>
      <c r="C1121" s="89">
        <v>2.0</v>
      </c>
      <c r="D1121" s="87" t="s">
        <v>204</v>
      </c>
      <c r="E1121" s="89">
        <v>1.0</v>
      </c>
      <c r="F1121" s="89">
        <v>0.3965</v>
      </c>
      <c r="G1121" s="89">
        <v>0.1971</v>
      </c>
      <c r="H1121" s="98"/>
      <c r="I1121" s="90">
        <f t="shared" si="1"/>
        <v>1.011669203</v>
      </c>
      <c r="J1121" s="81">
        <f t="shared" si="2"/>
        <v>0.4970996217</v>
      </c>
    </row>
    <row r="1122">
      <c r="A1122" s="88">
        <v>44704.0</v>
      </c>
      <c r="B1122" s="89">
        <v>2360.0</v>
      </c>
      <c r="C1122" s="89">
        <v>3.0</v>
      </c>
      <c r="D1122" s="87" t="s">
        <v>204</v>
      </c>
      <c r="E1122" s="89">
        <v>1.0</v>
      </c>
      <c r="F1122" s="89">
        <v>0.3059</v>
      </c>
      <c r="G1122" s="89">
        <v>0.152</v>
      </c>
      <c r="H1122" s="98"/>
      <c r="I1122" s="90">
        <f t="shared" si="1"/>
        <v>1.0125</v>
      </c>
      <c r="J1122" s="81">
        <f t="shared" si="2"/>
        <v>0.4968944099</v>
      </c>
    </row>
    <row r="1123">
      <c r="A1123" s="88">
        <v>44704.0</v>
      </c>
      <c r="B1123" s="89">
        <v>2021.0</v>
      </c>
      <c r="C1123" s="89">
        <v>1.0</v>
      </c>
      <c r="D1123" s="87" t="s">
        <v>204</v>
      </c>
      <c r="E1123" s="89">
        <v>0.0</v>
      </c>
      <c r="F1123" s="89">
        <v>0.0364</v>
      </c>
      <c r="G1123" s="89">
        <v>0.018</v>
      </c>
      <c r="H1123" s="98"/>
      <c r="I1123" s="90">
        <f t="shared" si="1"/>
        <v>1.022222222</v>
      </c>
      <c r="J1123" s="81">
        <f t="shared" si="2"/>
        <v>0.4945054945</v>
      </c>
    </row>
    <row r="1124">
      <c r="A1124" s="88">
        <v>44704.0</v>
      </c>
      <c r="B1124" s="89">
        <v>2026.0</v>
      </c>
      <c r="C1124" s="89">
        <v>2.0</v>
      </c>
      <c r="D1124" s="87" t="s">
        <v>204</v>
      </c>
      <c r="E1124" s="89">
        <v>0.0</v>
      </c>
      <c r="F1124" s="89">
        <v>0.0689</v>
      </c>
      <c r="G1124" s="89">
        <v>0.034</v>
      </c>
      <c r="H1124" s="98"/>
      <c r="I1124" s="90">
        <f t="shared" si="1"/>
        <v>1.026470588</v>
      </c>
      <c r="J1124" s="81">
        <f t="shared" si="2"/>
        <v>0.4934687954</v>
      </c>
    </row>
    <row r="1125">
      <c r="A1125" s="88">
        <v>44704.0</v>
      </c>
      <c r="B1125" s="89">
        <v>2360.0</v>
      </c>
      <c r="C1125" s="89">
        <v>2.0</v>
      </c>
      <c r="D1125" s="87" t="s">
        <v>204</v>
      </c>
      <c r="E1125" s="89">
        <v>0.0</v>
      </c>
      <c r="F1125" s="89">
        <v>0.2129</v>
      </c>
      <c r="G1125" s="89">
        <v>0.105</v>
      </c>
      <c r="H1125" s="98"/>
      <c r="I1125" s="90">
        <f t="shared" si="1"/>
        <v>1.027619048</v>
      </c>
      <c r="J1125" s="81">
        <f t="shared" si="2"/>
        <v>0.4931892907</v>
      </c>
    </row>
    <row r="1126">
      <c r="A1126" s="88">
        <v>44704.0</v>
      </c>
      <c r="B1126" s="89">
        <v>2029.0</v>
      </c>
      <c r="C1126" s="89">
        <v>3.0</v>
      </c>
      <c r="D1126" s="87" t="s">
        <v>204</v>
      </c>
      <c r="E1126" s="89">
        <v>0.0</v>
      </c>
      <c r="F1126" s="89">
        <v>0.073</v>
      </c>
      <c r="G1126" s="89">
        <v>0.036</v>
      </c>
      <c r="H1126" s="98"/>
      <c r="I1126" s="90">
        <f t="shared" si="1"/>
        <v>1.027777778</v>
      </c>
      <c r="J1126" s="81">
        <f t="shared" si="2"/>
        <v>0.4931506849</v>
      </c>
    </row>
    <row r="1127">
      <c r="A1127" s="88">
        <v>44704.0</v>
      </c>
      <c r="B1127" s="89">
        <v>2028.0</v>
      </c>
      <c r="C1127" s="89">
        <v>2.0</v>
      </c>
      <c r="D1127" s="87" t="s">
        <v>204</v>
      </c>
      <c r="E1127" s="89">
        <v>0.0</v>
      </c>
      <c r="F1127" s="89">
        <v>0.0714</v>
      </c>
      <c r="G1127" s="89">
        <v>0.0349</v>
      </c>
      <c r="H1127" s="98"/>
      <c r="I1127" s="90">
        <f t="shared" si="1"/>
        <v>1.045845272</v>
      </c>
      <c r="J1127" s="81">
        <f t="shared" si="2"/>
        <v>0.4887955182</v>
      </c>
    </row>
    <row r="1128">
      <c r="A1128" s="88">
        <v>44704.0</v>
      </c>
      <c r="B1128" s="89">
        <v>2026.0</v>
      </c>
      <c r="C1128" s="89">
        <v>1.0</v>
      </c>
      <c r="D1128" s="87" t="s">
        <v>204</v>
      </c>
      <c r="E1128" s="89">
        <v>0.0</v>
      </c>
      <c r="F1128" s="89">
        <v>0.1208</v>
      </c>
      <c r="G1128" s="89">
        <v>0.059</v>
      </c>
      <c r="H1128" s="98"/>
      <c r="I1128" s="90">
        <f t="shared" si="1"/>
        <v>1.047457627</v>
      </c>
      <c r="J1128" s="81">
        <f t="shared" si="2"/>
        <v>0.488410596</v>
      </c>
    </row>
    <row r="1129">
      <c r="A1129" s="88">
        <v>44704.0</v>
      </c>
      <c r="B1129" s="89">
        <v>2343.0</v>
      </c>
      <c r="C1129" s="89">
        <v>1.0</v>
      </c>
      <c r="D1129" s="87" t="s">
        <v>204</v>
      </c>
      <c r="E1129" s="89">
        <v>0.0</v>
      </c>
      <c r="F1129" s="89">
        <v>0.1966</v>
      </c>
      <c r="G1129" s="89">
        <v>0.096</v>
      </c>
      <c r="H1129" s="98"/>
      <c r="I1129" s="90">
        <f t="shared" si="1"/>
        <v>1.047916667</v>
      </c>
      <c r="J1129" s="81">
        <f t="shared" si="2"/>
        <v>0.488301119</v>
      </c>
    </row>
    <row r="1130">
      <c r="A1130" s="88">
        <v>44704.0</v>
      </c>
      <c r="B1130" s="89">
        <v>2360.0</v>
      </c>
      <c r="C1130" s="89">
        <v>1.0</v>
      </c>
      <c r="D1130" s="87" t="s">
        <v>204</v>
      </c>
      <c r="E1130" s="89">
        <v>0.0</v>
      </c>
      <c r="F1130" s="89">
        <v>0.1708</v>
      </c>
      <c r="G1130" s="89">
        <v>0.083</v>
      </c>
      <c r="H1130" s="98"/>
      <c r="I1130" s="90">
        <f t="shared" si="1"/>
        <v>1.057831325</v>
      </c>
      <c r="J1130" s="81">
        <f t="shared" si="2"/>
        <v>0.4859484778</v>
      </c>
    </row>
    <row r="1131">
      <c r="A1131" s="88">
        <v>44704.0</v>
      </c>
      <c r="B1131" s="89">
        <v>2026.0</v>
      </c>
      <c r="C1131" s="89">
        <v>3.0</v>
      </c>
      <c r="D1131" s="87" t="s">
        <v>204</v>
      </c>
      <c r="E1131" s="89">
        <v>0.0</v>
      </c>
      <c r="F1131" s="89">
        <v>0.3265</v>
      </c>
      <c r="G1131" s="89">
        <v>0.1584</v>
      </c>
      <c r="H1131" s="98"/>
      <c r="I1131" s="90">
        <f t="shared" si="1"/>
        <v>1.061237374</v>
      </c>
      <c r="J1131" s="81">
        <f t="shared" si="2"/>
        <v>0.4851454824</v>
      </c>
    </row>
    <row r="1132">
      <c r="A1132" s="88">
        <v>44704.0</v>
      </c>
      <c r="B1132" s="89">
        <v>2360.0</v>
      </c>
      <c r="C1132" s="89">
        <v>2.0</v>
      </c>
      <c r="D1132" s="87" t="s">
        <v>205</v>
      </c>
      <c r="E1132" s="89">
        <v>0.0</v>
      </c>
      <c r="F1132" s="89">
        <v>2.0733</v>
      </c>
      <c r="G1132" s="89">
        <v>1.0037</v>
      </c>
      <c r="H1132" s="98"/>
      <c r="I1132" s="90">
        <f t="shared" si="1"/>
        <v>1.065657069</v>
      </c>
      <c r="J1132" s="81">
        <f t="shared" si="2"/>
        <v>0.4841074615</v>
      </c>
    </row>
    <row r="1133">
      <c r="A1133" s="88">
        <v>44704.0</v>
      </c>
      <c r="B1133" s="89">
        <v>2365.0</v>
      </c>
      <c r="C1133" s="89">
        <v>2.0</v>
      </c>
      <c r="D1133" s="87" t="s">
        <v>204</v>
      </c>
      <c r="E1133" s="89">
        <v>1.0</v>
      </c>
      <c r="F1133" s="89">
        <v>0.0951</v>
      </c>
      <c r="G1133" s="89">
        <v>0.046</v>
      </c>
      <c r="H1133" s="98"/>
      <c r="I1133" s="90">
        <f t="shared" si="1"/>
        <v>1.067391304</v>
      </c>
      <c r="J1133" s="81">
        <f t="shared" si="2"/>
        <v>0.483701367</v>
      </c>
    </row>
    <row r="1134">
      <c r="A1134" s="88">
        <v>44704.0</v>
      </c>
      <c r="B1134" s="89">
        <v>2365.0</v>
      </c>
      <c r="C1134" s="89">
        <v>3.0</v>
      </c>
      <c r="D1134" s="87" t="s">
        <v>204</v>
      </c>
      <c r="E1134" s="89">
        <v>0.0</v>
      </c>
      <c r="F1134" s="89">
        <v>0.0519</v>
      </c>
      <c r="G1134" s="89">
        <v>0.025</v>
      </c>
      <c r="H1134" s="98"/>
      <c r="I1134" s="90">
        <f t="shared" si="1"/>
        <v>1.076</v>
      </c>
      <c r="J1134" s="81">
        <f t="shared" si="2"/>
        <v>0.4816955684</v>
      </c>
    </row>
    <row r="1135">
      <c r="A1135" s="88">
        <v>44704.0</v>
      </c>
      <c r="B1135" s="89">
        <v>2030.0</v>
      </c>
      <c r="C1135" s="89">
        <v>2.0</v>
      </c>
      <c r="D1135" s="87" t="s">
        <v>204</v>
      </c>
      <c r="E1135" s="89">
        <v>0.0</v>
      </c>
      <c r="F1135" s="89">
        <v>0.1292</v>
      </c>
      <c r="G1135" s="89">
        <v>0.0619</v>
      </c>
      <c r="H1135" s="98"/>
      <c r="I1135" s="90">
        <f t="shared" si="1"/>
        <v>1.08723748</v>
      </c>
      <c r="J1135" s="81">
        <f t="shared" si="2"/>
        <v>0.4791021672</v>
      </c>
    </row>
    <row r="1136">
      <c r="A1136" s="88">
        <v>44704.0</v>
      </c>
      <c r="B1136" s="89">
        <v>2022.0</v>
      </c>
      <c r="C1136" s="89">
        <v>2.0</v>
      </c>
      <c r="D1136" s="87" t="s">
        <v>204</v>
      </c>
      <c r="E1136" s="89">
        <v>0.0</v>
      </c>
      <c r="F1136" s="89">
        <v>0.1947</v>
      </c>
      <c r="G1136" s="89">
        <v>0.093</v>
      </c>
      <c r="H1136" s="98"/>
      <c r="I1136" s="90">
        <f t="shared" si="1"/>
        <v>1.093548387</v>
      </c>
      <c r="J1136" s="81">
        <f t="shared" si="2"/>
        <v>0.4776579353</v>
      </c>
    </row>
    <row r="1137">
      <c r="A1137" s="88">
        <v>44704.0</v>
      </c>
      <c r="B1137" s="89">
        <v>2027.0</v>
      </c>
      <c r="C1137" s="89">
        <v>3.0</v>
      </c>
      <c r="D1137" s="87" t="s">
        <v>204</v>
      </c>
      <c r="E1137" s="89">
        <v>0.0</v>
      </c>
      <c r="F1137" s="89">
        <v>0.147</v>
      </c>
      <c r="G1137" s="89">
        <v>0.07</v>
      </c>
      <c r="H1137" s="98"/>
      <c r="I1137" s="90">
        <f t="shared" si="1"/>
        <v>1.1</v>
      </c>
      <c r="J1137" s="81">
        <f t="shared" si="2"/>
        <v>0.4761904762</v>
      </c>
    </row>
    <row r="1138">
      <c r="A1138" s="88">
        <v>44704.0</v>
      </c>
      <c r="B1138" s="89">
        <v>2021.0</v>
      </c>
      <c r="C1138" s="89">
        <v>2.0</v>
      </c>
      <c r="D1138" s="87" t="s">
        <v>204</v>
      </c>
      <c r="E1138" s="89">
        <v>0.0</v>
      </c>
      <c r="F1138" s="89">
        <v>0.0347</v>
      </c>
      <c r="G1138" s="89">
        <v>0.016</v>
      </c>
      <c r="H1138" s="98"/>
      <c r="I1138" s="90">
        <f t="shared" si="1"/>
        <v>1.16875</v>
      </c>
      <c r="J1138" s="81">
        <f t="shared" si="2"/>
        <v>0.4610951009</v>
      </c>
    </row>
    <row r="1139">
      <c r="A1139" s="88">
        <v>44704.0</v>
      </c>
      <c r="B1139" s="89">
        <v>2021.0</v>
      </c>
      <c r="C1139" s="89">
        <v>3.0</v>
      </c>
      <c r="D1139" s="87" t="s">
        <v>204</v>
      </c>
      <c r="E1139" s="89">
        <v>0.0</v>
      </c>
      <c r="F1139" s="89">
        <v>0.0458</v>
      </c>
      <c r="G1139" s="89">
        <v>0.021</v>
      </c>
      <c r="H1139" s="98"/>
      <c r="I1139" s="90">
        <f t="shared" si="1"/>
        <v>1.180952381</v>
      </c>
      <c r="J1139" s="81">
        <f t="shared" si="2"/>
        <v>0.4585152838</v>
      </c>
    </row>
    <row r="1140">
      <c r="A1140" s="88">
        <v>44704.0</v>
      </c>
      <c r="B1140" s="89">
        <v>2384.0</v>
      </c>
      <c r="C1140" s="89">
        <v>3.0</v>
      </c>
      <c r="D1140" s="87" t="s">
        <v>204</v>
      </c>
      <c r="E1140" s="89">
        <v>0.0</v>
      </c>
      <c r="F1140" s="89">
        <v>0.046</v>
      </c>
      <c r="G1140" s="89">
        <v>0.021</v>
      </c>
      <c r="H1140" s="98"/>
      <c r="I1140" s="90">
        <f t="shared" si="1"/>
        <v>1.19047619</v>
      </c>
      <c r="J1140" s="81">
        <f t="shared" si="2"/>
        <v>0.4565217391</v>
      </c>
    </row>
    <row r="1141">
      <c r="A1141" s="88">
        <v>44704.0</v>
      </c>
      <c r="B1141" s="89">
        <v>2030.0</v>
      </c>
      <c r="C1141" s="89">
        <v>3.0</v>
      </c>
      <c r="D1141" s="87" t="s">
        <v>204</v>
      </c>
      <c r="E1141" s="89">
        <v>0.0</v>
      </c>
      <c r="F1141" s="89">
        <v>0.0292</v>
      </c>
      <c r="G1141" s="89">
        <v>0.0132</v>
      </c>
      <c r="H1141" s="98"/>
      <c r="I1141" s="90">
        <f t="shared" si="1"/>
        <v>1.212121212</v>
      </c>
      <c r="J1141" s="81">
        <f t="shared" si="2"/>
        <v>0.4520547945</v>
      </c>
    </row>
    <row r="1142">
      <c r="A1142" s="88">
        <v>44704.0</v>
      </c>
      <c r="B1142" s="89">
        <v>2022.0</v>
      </c>
      <c r="C1142" s="89">
        <v>3.0</v>
      </c>
      <c r="D1142" s="87" t="s">
        <v>204</v>
      </c>
      <c r="E1142" s="89">
        <v>0.0</v>
      </c>
      <c r="F1142" s="89">
        <v>0.0357</v>
      </c>
      <c r="G1142" s="89">
        <v>0.016</v>
      </c>
      <c r="H1142" s="98"/>
      <c r="I1142" s="90">
        <f t="shared" si="1"/>
        <v>1.23125</v>
      </c>
      <c r="J1142" s="81">
        <f t="shared" si="2"/>
        <v>0.4481792717</v>
      </c>
    </row>
    <row r="1143">
      <c r="A1143" s="88">
        <v>44704.0</v>
      </c>
      <c r="B1143" s="89">
        <v>2377.0</v>
      </c>
      <c r="C1143" s="89">
        <v>2.0</v>
      </c>
      <c r="D1143" s="87" t="s">
        <v>204</v>
      </c>
      <c r="E1143" s="89">
        <v>0.0</v>
      </c>
      <c r="F1143" s="89">
        <v>0.0656</v>
      </c>
      <c r="G1143" s="89">
        <v>0.029</v>
      </c>
      <c r="H1143" s="98"/>
      <c r="I1143" s="90">
        <f t="shared" si="1"/>
        <v>1.262068966</v>
      </c>
      <c r="J1143" s="81">
        <f t="shared" si="2"/>
        <v>0.4420731707</v>
      </c>
    </row>
    <row r="1144">
      <c r="A1144" s="88">
        <v>44705.0</v>
      </c>
      <c r="B1144" s="89">
        <v>2022.0</v>
      </c>
      <c r="C1144" s="89">
        <v>1.0</v>
      </c>
      <c r="D1144" s="87" t="s">
        <v>204</v>
      </c>
      <c r="E1144" s="89">
        <v>1.0</v>
      </c>
      <c r="F1144" s="89">
        <v>2.9333</v>
      </c>
      <c r="G1144" s="89">
        <v>0.488</v>
      </c>
      <c r="H1144" s="98"/>
      <c r="I1144" s="90">
        <f t="shared" si="1"/>
        <v>5.010860656</v>
      </c>
      <c r="J1144" s="81">
        <f t="shared" si="2"/>
        <v>0.1663655269</v>
      </c>
      <c r="K1144" s="66">
        <v>1.0</v>
      </c>
    </row>
    <row r="1145">
      <c r="A1145" s="88">
        <v>44706.0</v>
      </c>
      <c r="B1145" s="89">
        <v>2380.0</v>
      </c>
      <c r="C1145" s="89">
        <v>1.0</v>
      </c>
      <c r="D1145" s="87" t="s">
        <v>205</v>
      </c>
      <c r="E1145" s="89">
        <v>1.0</v>
      </c>
      <c r="F1145" s="89">
        <v>1.2283</v>
      </c>
      <c r="G1145" s="89">
        <v>0.796</v>
      </c>
      <c r="H1145" s="87" t="s">
        <v>227</v>
      </c>
      <c r="I1145" s="90">
        <f t="shared" si="1"/>
        <v>0.5430904523</v>
      </c>
      <c r="J1145" s="81">
        <f t="shared" si="2"/>
        <v>0.6480501506</v>
      </c>
    </row>
    <row r="1146">
      <c r="A1146" s="88">
        <v>44706.0</v>
      </c>
      <c r="B1146" s="89">
        <v>2380.0</v>
      </c>
      <c r="C1146" s="89">
        <v>3.0</v>
      </c>
      <c r="D1146" s="87" t="s">
        <v>205</v>
      </c>
      <c r="E1146" s="89">
        <v>1.0</v>
      </c>
      <c r="F1146" s="89">
        <v>0.9965</v>
      </c>
      <c r="G1146" s="89">
        <v>0.631</v>
      </c>
      <c r="H1146" s="87" t="s">
        <v>227</v>
      </c>
      <c r="I1146" s="90">
        <f t="shared" si="1"/>
        <v>0.5792393027</v>
      </c>
      <c r="J1146" s="81">
        <f t="shared" si="2"/>
        <v>0.6332162569</v>
      </c>
    </row>
    <row r="1147">
      <c r="A1147" s="88">
        <v>44706.0</v>
      </c>
      <c r="B1147" s="89">
        <v>2022.0</v>
      </c>
      <c r="C1147" s="89">
        <v>2.0</v>
      </c>
      <c r="D1147" s="87" t="s">
        <v>205</v>
      </c>
      <c r="E1147" s="89">
        <v>1.0</v>
      </c>
      <c r="F1147" s="89">
        <v>0.8538</v>
      </c>
      <c r="G1147" s="89">
        <v>0.539</v>
      </c>
      <c r="H1147" s="87" t="s">
        <v>227</v>
      </c>
      <c r="I1147" s="90">
        <f t="shared" si="1"/>
        <v>0.5840445269</v>
      </c>
      <c r="J1147" s="81">
        <f t="shared" si="2"/>
        <v>0.6312953853</v>
      </c>
    </row>
    <row r="1148">
      <c r="A1148" s="88">
        <v>44706.0</v>
      </c>
      <c r="B1148" s="89">
        <v>2352.0</v>
      </c>
      <c r="C1148" s="89">
        <v>2.0</v>
      </c>
      <c r="D1148" s="87" t="s">
        <v>205</v>
      </c>
      <c r="E1148" s="89">
        <v>1.0</v>
      </c>
      <c r="F1148" s="89">
        <v>0.9854</v>
      </c>
      <c r="G1148" s="89">
        <v>0.622</v>
      </c>
      <c r="H1148" s="87" t="s">
        <v>227</v>
      </c>
      <c r="I1148" s="90">
        <f t="shared" si="1"/>
        <v>0.584244373</v>
      </c>
      <c r="J1148" s="81">
        <f t="shared" si="2"/>
        <v>0.6312157499</v>
      </c>
    </row>
    <row r="1149">
      <c r="A1149" s="88">
        <v>44706.0</v>
      </c>
      <c r="B1149" s="89">
        <v>2352.0</v>
      </c>
      <c r="C1149" s="89">
        <v>1.0</v>
      </c>
      <c r="D1149" s="87" t="s">
        <v>205</v>
      </c>
      <c r="E1149" s="89">
        <v>1.0</v>
      </c>
      <c r="F1149" s="89">
        <v>0.4831</v>
      </c>
      <c r="G1149" s="89">
        <v>0.303</v>
      </c>
      <c r="H1149" s="87" t="s">
        <v>227</v>
      </c>
      <c r="I1149" s="90">
        <f t="shared" si="1"/>
        <v>0.5943894389</v>
      </c>
      <c r="J1149" s="81">
        <f t="shared" si="2"/>
        <v>0.6271993376</v>
      </c>
    </row>
    <row r="1150">
      <c r="A1150" s="88">
        <v>44706.0</v>
      </c>
      <c r="B1150" s="89">
        <v>2352.0</v>
      </c>
      <c r="C1150" s="89">
        <v>3.0</v>
      </c>
      <c r="D1150" s="87" t="s">
        <v>204</v>
      </c>
      <c r="E1150" s="89">
        <v>1.0</v>
      </c>
      <c r="F1150" s="89">
        <v>0.786</v>
      </c>
      <c r="G1150" s="89">
        <v>0.486</v>
      </c>
      <c r="H1150" s="87" t="s">
        <v>227</v>
      </c>
      <c r="I1150" s="90">
        <f t="shared" si="1"/>
        <v>0.6172839506</v>
      </c>
      <c r="J1150" s="81">
        <f t="shared" si="2"/>
        <v>0.6183206107</v>
      </c>
    </row>
    <row r="1151">
      <c r="A1151" s="88">
        <v>44706.0</v>
      </c>
      <c r="B1151" s="89">
        <v>2023.0</v>
      </c>
      <c r="C1151" s="89">
        <v>3.0</v>
      </c>
      <c r="D1151" s="87" t="s">
        <v>205</v>
      </c>
      <c r="E1151" s="89">
        <v>1.0</v>
      </c>
      <c r="F1151" s="89">
        <v>1.996</v>
      </c>
      <c r="G1151" s="89">
        <v>1.23</v>
      </c>
      <c r="H1151" s="87" t="s">
        <v>227</v>
      </c>
      <c r="I1151" s="90">
        <f t="shared" si="1"/>
        <v>0.6227642276</v>
      </c>
      <c r="J1151" s="81">
        <f t="shared" si="2"/>
        <v>0.6162324649</v>
      </c>
    </row>
    <row r="1152">
      <c r="A1152" s="88">
        <v>44706.0</v>
      </c>
      <c r="B1152" s="89">
        <v>2331.0</v>
      </c>
      <c r="C1152" s="89">
        <v>3.0</v>
      </c>
      <c r="D1152" s="87" t="s">
        <v>205</v>
      </c>
      <c r="E1152" s="89">
        <v>1.0</v>
      </c>
      <c r="F1152" s="89">
        <v>0.7144</v>
      </c>
      <c r="G1152" s="89">
        <v>0.439</v>
      </c>
      <c r="H1152" s="87" t="s">
        <v>227</v>
      </c>
      <c r="I1152" s="90">
        <f t="shared" si="1"/>
        <v>0.6273348519</v>
      </c>
      <c r="J1152" s="81">
        <f t="shared" si="2"/>
        <v>0.6145016797</v>
      </c>
    </row>
    <row r="1153">
      <c r="A1153" s="88">
        <v>44706.0</v>
      </c>
      <c r="B1153" s="89">
        <v>2345.0</v>
      </c>
      <c r="C1153" s="89">
        <v>3.0</v>
      </c>
      <c r="D1153" s="87" t="s">
        <v>205</v>
      </c>
      <c r="E1153" s="89">
        <v>1.0</v>
      </c>
      <c r="F1153" s="89">
        <v>0.6677</v>
      </c>
      <c r="G1153" s="89">
        <v>0.406</v>
      </c>
      <c r="H1153" s="87" t="s">
        <v>227</v>
      </c>
      <c r="I1153" s="90">
        <f t="shared" si="1"/>
        <v>0.6445812808</v>
      </c>
      <c r="J1153" s="81">
        <f t="shared" si="2"/>
        <v>0.6080575109</v>
      </c>
    </row>
    <row r="1154">
      <c r="A1154" s="88">
        <v>44706.0</v>
      </c>
      <c r="B1154" s="89">
        <v>2331.0</v>
      </c>
      <c r="C1154" s="89">
        <v>2.0</v>
      </c>
      <c r="D1154" s="87" t="s">
        <v>205</v>
      </c>
      <c r="E1154" s="89">
        <v>1.0</v>
      </c>
      <c r="F1154" s="89">
        <v>1.2565</v>
      </c>
      <c r="G1154" s="89">
        <v>0.759</v>
      </c>
      <c r="H1154" s="87" t="s">
        <v>227</v>
      </c>
      <c r="I1154" s="90">
        <f t="shared" si="1"/>
        <v>0.6554677207</v>
      </c>
      <c r="J1154" s="81">
        <f t="shared" si="2"/>
        <v>0.6040588938</v>
      </c>
    </row>
    <row r="1155">
      <c r="A1155" s="88">
        <v>44706.0</v>
      </c>
      <c r="B1155" s="89">
        <v>2301.0</v>
      </c>
      <c r="C1155" s="89">
        <v>2.0</v>
      </c>
      <c r="D1155" s="87" t="s">
        <v>205</v>
      </c>
      <c r="E1155" s="89">
        <v>1.0</v>
      </c>
      <c r="F1155" s="89">
        <v>2.9523</v>
      </c>
      <c r="G1155" s="89">
        <v>1.783</v>
      </c>
      <c r="H1155" s="87" t="s">
        <v>227</v>
      </c>
      <c r="I1155" s="90">
        <f t="shared" si="1"/>
        <v>0.6558048233</v>
      </c>
      <c r="J1155" s="81">
        <f t="shared" si="2"/>
        <v>0.6039359144</v>
      </c>
    </row>
    <row r="1156">
      <c r="A1156" s="88">
        <v>44706.0</v>
      </c>
      <c r="B1156" s="89">
        <v>2023.0</v>
      </c>
      <c r="C1156" s="89">
        <v>1.0</v>
      </c>
      <c r="D1156" s="87" t="s">
        <v>205</v>
      </c>
      <c r="E1156" s="89">
        <v>1.0</v>
      </c>
      <c r="F1156" s="89">
        <v>0.7444</v>
      </c>
      <c r="G1156" s="89">
        <v>0.449</v>
      </c>
      <c r="H1156" s="87" t="s">
        <v>227</v>
      </c>
      <c r="I1156" s="90">
        <f t="shared" si="1"/>
        <v>0.6579064588</v>
      </c>
      <c r="J1156" s="81">
        <f t="shared" si="2"/>
        <v>0.6031703385</v>
      </c>
    </row>
    <row r="1157">
      <c r="A1157" s="88">
        <v>44706.0</v>
      </c>
      <c r="B1157" s="89">
        <v>2032.0</v>
      </c>
      <c r="C1157" s="89">
        <v>2.0</v>
      </c>
      <c r="D1157" s="87" t="s">
        <v>205</v>
      </c>
      <c r="E1157" s="89">
        <v>1.0</v>
      </c>
      <c r="F1157" s="89">
        <v>1.3016</v>
      </c>
      <c r="G1157" s="89">
        <v>0.785</v>
      </c>
      <c r="H1157" s="87" t="s">
        <v>227</v>
      </c>
      <c r="I1157" s="90">
        <f t="shared" si="1"/>
        <v>0.658089172</v>
      </c>
      <c r="J1157" s="81">
        <f t="shared" si="2"/>
        <v>0.6031038722</v>
      </c>
    </row>
    <row r="1158">
      <c r="A1158" s="88">
        <v>44706.0</v>
      </c>
      <c r="B1158" s="89">
        <v>2345.0</v>
      </c>
      <c r="C1158" s="89">
        <v>2.0</v>
      </c>
      <c r="D1158" s="87" t="s">
        <v>205</v>
      </c>
      <c r="E1158" s="89">
        <v>1.0</v>
      </c>
      <c r="F1158" s="89">
        <v>1.5385</v>
      </c>
      <c r="G1158" s="89">
        <v>0.9274</v>
      </c>
      <c r="H1158" s="87" t="s">
        <v>227</v>
      </c>
      <c r="I1158" s="90">
        <f t="shared" si="1"/>
        <v>0.6589389692</v>
      </c>
      <c r="J1158" s="81">
        <f t="shared" si="2"/>
        <v>0.6027949301</v>
      </c>
    </row>
    <row r="1159">
      <c r="A1159" s="88">
        <v>44706.0</v>
      </c>
      <c r="B1159" s="89">
        <v>2345.0</v>
      </c>
      <c r="C1159" s="89">
        <v>1.0</v>
      </c>
      <c r="D1159" s="87" t="s">
        <v>205</v>
      </c>
      <c r="E1159" s="89">
        <v>1.0</v>
      </c>
      <c r="F1159" s="89">
        <v>0.7286</v>
      </c>
      <c r="G1159" s="89">
        <v>0.439</v>
      </c>
      <c r="H1159" s="87" t="s">
        <v>227</v>
      </c>
      <c r="I1159" s="90">
        <f t="shared" si="1"/>
        <v>0.6596810934</v>
      </c>
      <c r="J1159" s="81">
        <f t="shared" si="2"/>
        <v>0.6025253912</v>
      </c>
    </row>
    <row r="1160">
      <c r="A1160" s="88">
        <v>44706.0</v>
      </c>
      <c r="B1160" s="89">
        <v>2301.0</v>
      </c>
      <c r="C1160" s="89">
        <v>3.0</v>
      </c>
      <c r="D1160" s="87" t="s">
        <v>205</v>
      </c>
      <c r="E1160" s="89">
        <v>1.0</v>
      </c>
      <c r="F1160" s="89">
        <v>1.9312</v>
      </c>
      <c r="G1160" s="89">
        <v>1.152</v>
      </c>
      <c r="H1160" s="87" t="s">
        <v>227</v>
      </c>
      <c r="I1160" s="90">
        <f t="shared" si="1"/>
        <v>0.6763888889</v>
      </c>
      <c r="J1160" s="81">
        <f t="shared" si="2"/>
        <v>0.5965202983</v>
      </c>
    </row>
    <row r="1161">
      <c r="A1161" s="88">
        <v>44706.0</v>
      </c>
      <c r="B1161" s="89">
        <v>2331.0</v>
      </c>
      <c r="C1161" s="89">
        <v>1.0</v>
      </c>
      <c r="D1161" s="87" t="s">
        <v>205</v>
      </c>
      <c r="E1161" s="89">
        <v>1.0</v>
      </c>
      <c r="F1161" s="89">
        <v>1.1028</v>
      </c>
      <c r="G1161" s="89">
        <v>0.654</v>
      </c>
      <c r="H1161" s="87" t="s">
        <v>227</v>
      </c>
      <c r="I1161" s="90">
        <f t="shared" si="1"/>
        <v>0.6862385321</v>
      </c>
      <c r="J1161" s="81">
        <f t="shared" si="2"/>
        <v>0.5930359086</v>
      </c>
    </row>
    <row r="1162">
      <c r="A1162" s="88">
        <v>44706.0</v>
      </c>
      <c r="B1162" s="89">
        <v>2352.0</v>
      </c>
      <c r="C1162" s="89">
        <v>1.0</v>
      </c>
      <c r="D1162" s="87" t="s">
        <v>204</v>
      </c>
      <c r="E1162" s="89">
        <v>1.0</v>
      </c>
      <c r="F1162" s="89">
        <v>0.1001</v>
      </c>
      <c r="G1162" s="89">
        <v>0.0585</v>
      </c>
      <c r="H1162" s="87" t="s">
        <v>227</v>
      </c>
      <c r="I1162" s="90">
        <f t="shared" si="1"/>
        <v>0.7111111111</v>
      </c>
      <c r="J1162" s="81">
        <f t="shared" si="2"/>
        <v>0.5844155844</v>
      </c>
    </row>
    <row r="1163">
      <c r="A1163" s="88">
        <v>44706.0</v>
      </c>
      <c r="B1163" s="89">
        <v>2301.0</v>
      </c>
      <c r="C1163" s="89">
        <v>1.0</v>
      </c>
      <c r="D1163" s="87" t="s">
        <v>205</v>
      </c>
      <c r="E1163" s="89">
        <v>1.0</v>
      </c>
      <c r="F1163" s="89">
        <v>1.3279</v>
      </c>
      <c r="G1163" s="89">
        <v>0.773</v>
      </c>
      <c r="H1163" s="87" t="s">
        <v>227</v>
      </c>
      <c r="I1163" s="90">
        <f t="shared" si="1"/>
        <v>0.7178525226</v>
      </c>
      <c r="J1163" s="81">
        <f t="shared" si="2"/>
        <v>0.5821221478</v>
      </c>
    </row>
    <row r="1164">
      <c r="A1164" s="88">
        <v>44706.0</v>
      </c>
      <c r="B1164" s="89">
        <v>2352.0</v>
      </c>
      <c r="C1164" s="89">
        <v>2.0</v>
      </c>
      <c r="D1164" s="87" t="s">
        <v>204</v>
      </c>
      <c r="E1164" s="89">
        <v>1.0</v>
      </c>
      <c r="F1164" s="89">
        <v>0.1703</v>
      </c>
      <c r="G1164" s="89">
        <v>0.099</v>
      </c>
      <c r="H1164" s="87" t="s">
        <v>227</v>
      </c>
      <c r="I1164" s="90">
        <f t="shared" si="1"/>
        <v>0.7202020202</v>
      </c>
      <c r="J1164" s="81">
        <f t="shared" si="2"/>
        <v>0.5813270699</v>
      </c>
    </row>
    <row r="1165">
      <c r="A1165" s="88">
        <v>44706.0</v>
      </c>
      <c r="B1165" s="89">
        <v>2372.0</v>
      </c>
      <c r="C1165" s="89">
        <v>2.0</v>
      </c>
      <c r="D1165" s="87" t="s">
        <v>204</v>
      </c>
      <c r="E1165" s="89">
        <v>1.0</v>
      </c>
      <c r="F1165" s="89">
        <v>0.2192</v>
      </c>
      <c r="G1165" s="89">
        <v>0.126</v>
      </c>
      <c r="H1165" s="87" t="s">
        <v>227</v>
      </c>
      <c r="I1165" s="90">
        <f t="shared" si="1"/>
        <v>0.7396825397</v>
      </c>
      <c r="J1165" s="81">
        <f t="shared" si="2"/>
        <v>0.5748175182</v>
      </c>
    </row>
    <row r="1166">
      <c r="A1166" s="88">
        <v>44706.0</v>
      </c>
      <c r="B1166" s="89">
        <v>2023.0</v>
      </c>
      <c r="C1166" s="89">
        <v>3.0</v>
      </c>
      <c r="D1166" s="87" t="s">
        <v>204</v>
      </c>
      <c r="E1166" s="89">
        <v>1.0</v>
      </c>
      <c r="F1166" s="89">
        <v>0.2925</v>
      </c>
      <c r="G1166" s="89">
        <v>0.167</v>
      </c>
      <c r="H1166" s="87" t="s">
        <v>227</v>
      </c>
      <c r="I1166" s="90">
        <f t="shared" si="1"/>
        <v>0.751497006</v>
      </c>
      <c r="J1166" s="81">
        <f t="shared" si="2"/>
        <v>0.5709401709</v>
      </c>
    </row>
    <row r="1167">
      <c r="A1167" s="88">
        <v>44706.0</v>
      </c>
      <c r="B1167" s="89">
        <v>2380.0</v>
      </c>
      <c r="C1167" s="89">
        <v>1.0</v>
      </c>
      <c r="D1167" s="87" t="s">
        <v>204</v>
      </c>
      <c r="E1167" s="89">
        <v>1.0</v>
      </c>
      <c r="F1167" s="89">
        <v>0.2349</v>
      </c>
      <c r="G1167" s="89">
        <v>0.134</v>
      </c>
      <c r="H1167" s="87" t="s">
        <v>227</v>
      </c>
      <c r="I1167" s="90">
        <f t="shared" si="1"/>
        <v>0.7529850746</v>
      </c>
      <c r="J1167" s="81">
        <f t="shared" si="2"/>
        <v>0.570455513</v>
      </c>
    </row>
    <row r="1168">
      <c r="A1168" s="88">
        <v>44706.0</v>
      </c>
      <c r="B1168" s="89">
        <v>2023.0</v>
      </c>
      <c r="C1168" s="89">
        <v>2.0</v>
      </c>
      <c r="D1168" s="87" t="s">
        <v>205</v>
      </c>
      <c r="E1168" s="89">
        <v>0.0</v>
      </c>
      <c r="F1168" s="89">
        <v>0.1041</v>
      </c>
      <c r="G1168" s="89">
        <v>0.059</v>
      </c>
      <c r="H1168" s="87" t="s">
        <v>227</v>
      </c>
      <c r="I1168" s="90">
        <f t="shared" si="1"/>
        <v>0.7644067797</v>
      </c>
      <c r="J1168" s="81">
        <f t="shared" si="2"/>
        <v>0.5667627281</v>
      </c>
    </row>
    <row r="1169">
      <c r="A1169" s="88">
        <v>44706.0</v>
      </c>
      <c r="B1169" s="89">
        <v>2372.0</v>
      </c>
      <c r="C1169" s="89">
        <v>1.0</v>
      </c>
      <c r="D1169" s="87" t="s">
        <v>204</v>
      </c>
      <c r="E1169" s="89">
        <v>1.0</v>
      </c>
      <c r="F1169" s="89">
        <v>0.1592</v>
      </c>
      <c r="G1169" s="89">
        <v>0.09</v>
      </c>
      <c r="H1169" s="87" t="s">
        <v>227</v>
      </c>
      <c r="I1169" s="90">
        <f t="shared" si="1"/>
        <v>0.7688888889</v>
      </c>
      <c r="J1169" s="81">
        <f t="shared" si="2"/>
        <v>0.5653266332</v>
      </c>
    </row>
    <row r="1170">
      <c r="A1170" s="88">
        <v>44706.0</v>
      </c>
      <c r="B1170" s="89">
        <v>2380.0</v>
      </c>
      <c r="C1170" s="89">
        <v>2.0</v>
      </c>
      <c r="D1170" s="87" t="s">
        <v>204</v>
      </c>
      <c r="E1170" s="89">
        <v>1.0</v>
      </c>
      <c r="F1170" s="89">
        <v>0.3579</v>
      </c>
      <c r="G1170" s="89">
        <v>0.202</v>
      </c>
      <c r="H1170" s="87" t="s">
        <v>227</v>
      </c>
      <c r="I1170" s="90">
        <f t="shared" si="1"/>
        <v>0.7717821782</v>
      </c>
      <c r="J1170" s="81">
        <f t="shared" si="2"/>
        <v>0.5644034647</v>
      </c>
    </row>
    <row r="1171">
      <c r="A1171" s="88">
        <v>44706.0</v>
      </c>
      <c r="B1171" s="89">
        <v>2380.0</v>
      </c>
      <c r="C1171" s="89">
        <v>3.0</v>
      </c>
      <c r="D1171" s="87" t="s">
        <v>204</v>
      </c>
      <c r="E1171" s="89">
        <v>1.0</v>
      </c>
      <c r="F1171" s="89">
        <v>0.6531</v>
      </c>
      <c r="G1171" s="89">
        <v>0.368</v>
      </c>
      <c r="H1171" s="87" t="s">
        <v>227</v>
      </c>
      <c r="I1171" s="90">
        <f t="shared" si="1"/>
        <v>0.7747282609</v>
      </c>
      <c r="J1171" s="81">
        <f t="shared" si="2"/>
        <v>0.5634665442</v>
      </c>
    </row>
    <row r="1172">
      <c r="A1172" s="88">
        <v>44706.0</v>
      </c>
      <c r="B1172" s="89">
        <v>2023.0</v>
      </c>
      <c r="C1172" s="89">
        <v>1.0</v>
      </c>
      <c r="D1172" s="87" t="s">
        <v>204</v>
      </c>
      <c r="E1172" s="89">
        <v>1.0</v>
      </c>
      <c r="F1172" s="89">
        <v>0.1415</v>
      </c>
      <c r="G1172" s="89">
        <v>0.079</v>
      </c>
      <c r="H1172" s="87" t="s">
        <v>227</v>
      </c>
      <c r="I1172" s="90">
        <f t="shared" si="1"/>
        <v>0.7911392405</v>
      </c>
      <c r="J1172" s="81">
        <f t="shared" si="2"/>
        <v>0.5583038869</v>
      </c>
    </row>
    <row r="1173">
      <c r="A1173" s="88">
        <v>44706.0</v>
      </c>
      <c r="B1173" s="89">
        <v>2023.0</v>
      </c>
      <c r="C1173" s="89">
        <v>1.0</v>
      </c>
      <c r="D1173" s="87" t="s">
        <v>205</v>
      </c>
      <c r="E1173" s="89">
        <v>0.0</v>
      </c>
      <c r="F1173" s="89">
        <v>0.5673</v>
      </c>
      <c r="G1173" s="89">
        <v>0.3151</v>
      </c>
      <c r="H1173" s="87" t="s">
        <v>227</v>
      </c>
      <c r="I1173" s="90">
        <f t="shared" si="1"/>
        <v>0.8003808315</v>
      </c>
      <c r="J1173" s="81">
        <f t="shared" si="2"/>
        <v>0.5554380398</v>
      </c>
    </row>
    <row r="1174">
      <c r="A1174" s="88">
        <v>44706.0</v>
      </c>
      <c r="B1174" s="89">
        <v>2352.0</v>
      </c>
      <c r="C1174" s="89">
        <v>3.0</v>
      </c>
      <c r="D1174" s="87" t="s">
        <v>205</v>
      </c>
      <c r="E1174" s="89">
        <v>1.0</v>
      </c>
      <c r="F1174" s="89">
        <v>0.2775</v>
      </c>
      <c r="G1174" s="89">
        <v>0.154</v>
      </c>
      <c r="H1174" s="87" t="s">
        <v>227</v>
      </c>
      <c r="I1174" s="90">
        <f t="shared" si="1"/>
        <v>0.8019480519</v>
      </c>
      <c r="J1174" s="81">
        <f t="shared" si="2"/>
        <v>0.554954955</v>
      </c>
    </row>
    <row r="1175">
      <c r="A1175" s="88">
        <v>44706.0</v>
      </c>
      <c r="B1175" s="89">
        <v>2380.0</v>
      </c>
      <c r="C1175" s="89">
        <v>2.0</v>
      </c>
      <c r="D1175" s="87" t="s">
        <v>205</v>
      </c>
      <c r="E1175" s="89">
        <v>0.0</v>
      </c>
      <c r="F1175" s="89">
        <v>0.02</v>
      </c>
      <c r="G1175" s="89">
        <v>0.011</v>
      </c>
      <c r="H1175" s="87" t="s">
        <v>227</v>
      </c>
      <c r="I1175" s="90">
        <f t="shared" si="1"/>
        <v>0.8181818182</v>
      </c>
      <c r="J1175" s="81">
        <f t="shared" si="2"/>
        <v>0.55</v>
      </c>
    </row>
    <row r="1176">
      <c r="A1176" s="88">
        <v>44706.0</v>
      </c>
      <c r="B1176" s="89">
        <v>2372.0</v>
      </c>
      <c r="C1176" s="89">
        <v>3.0</v>
      </c>
      <c r="D1176" s="87" t="s">
        <v>204</v>
      </c>
      <c r="E1176" s="89">
        <v>1.0</v>
      </c>
      <c r="F1176" s="89">
        <v>0.3296</v>
      </c>
      <c r="G1176" s="89">
        <v>0.181</v>
      </c>
      <c r="H1176" s="87" t="s">
        <v>227</v>
      </c>
      <c r="I1176" s="90">
        <f t="shared" si="1"/>
        <v>0.8209944751</v>
      </c>
      <c r="J1176" s="81">
        <f t="shared" si="2"/>
        <v>0.5491504854</v>
      </c>
    </row>
    <row r="1177">
      <c r="A1177" s="88">
        <v>44706.0</v>
      </c>
      <c r="B1177" s="89">
        <v>2331.0</v>
      </c>
      <c r="C1177" s="89">
        <v>2.0</v>
      </c>
      <c r="D1177" s="87" t="s">
        <v>205</v>
      </c>
      <c r="E1177" s="89">
        <v>0.0</v>
      </c>
      <c r="F1177" s="89">
        <v>1.1281</v>
      </c>
      <c r="G1177" s="89">
        <v>0.614</v>
      </c>
      <c r="H1177" s="87" t="s">
        <v>227</v>
      </c>
      <c r="I1177" s="90">
        <f t="shared" si="1"/>
        <v>0.8372964169</v>
      </c>
      <c r="J1177" s="81">
        <f t="shared" si="2"/>
        <v>0.5442779895</v>
      </c>
    </row>
    <row r="1178">
      <c r="A1178" s="88">
        <v>44706.0</v>
      </c>
      <c r="B1178" s="89">
        <v>2023.0</v>
      </c>
      <c r="C1178" s="89">
        <v>2.0</v>
      </c>
      <c r="D1178" s="87" t="s">
        <v>204</v>
      </c>
      <c r="E1178" s="89">
        <v>1.0</v>
      </c>
      <c r="F1178" s="89">
        <v>0.414</v>
      </c>
      <c r="G1178" s="89">
        <v>0.225</v>
      </c>
      <c r="H1178" s="87" t="s">
        <v>227</v>
      </c>
      <c r="I1178" s="90">
        <f t="shared" si="1"/>
        <v>0.84</v>
      </c>
      <c r="J1178" s="81">
        <f t="shared" si="2"/>
        <v>0.5434782609</v>
      </c>
    </row>
    <row r="1179">
      <c r="A1179" s="88">
        <v>44706.0</v>
      </c>
      <c r="B1179" s="89">
        <v>2345.0</v>
      </c>
      <c r="C1179" s="89">
        <v>2.0</v>
      </c>
      <c r="D1179" s="87" t="s">
        <v>204</v>
      </c>
      <c r="E1179" s="89">
        <v>1.0</v>
      </c>
      <c r="F1179" s="89">
        <v>0.2632</v>
      </c>
      <c r="G1179" s="89">
        <v>0.143</v>
      </c>
      <c r="H1179" s="87" t="s">
        <v>227</v>
      </c>
      <c r="I1179" s="90">
        <f t="shared" si="1"/>
        <v>0.8405594406</v>
      </c>
      <c r="J1179" s="81">
        <f t="shared" si="2"/>
        <v>0.5433130699</v>
      </c>
    </row>
    <row r="1180">
      <c r="A1180" s="88">
        <v>44706.0</v>
      </c>
      <c r="B1180" s="89">
        <v>2372.0</v>
      </c>
      <c r="C1180" s="89">
        <v>2.0</v>
      </c>
      <c r="D1180" s="87" t="s">
        <v>205</v>
      </c>
      <c r="E1180" s="89">
        <v>0.0</v>
      </c>
      <c r="F1180" s="89">
        <v>1.047</v>
      </c>
      <c r="G1180" s="89">
        <v>0.5672</v>
      </c>
      <c r="H1180" s="87" t="s">
        <v>227</v>
      </c>
      <c r="I1180" s="90">
        <f t="shared" si="1"/>
        <v>0.845909732</v>
      </c>
      <c r="J1180" s="81">
        <f t="shared" si="2"/>
        <v>0.5417382999</v>
      </c>
    </row>
    <row r="1181">
      <c r="A1181" s="88">
        <v>44706.0</v>
      </c>
      <c r="B1181" s="89">
        <v>2025.0</v>
      </c>
      <c r="C1181" s="89">
        <v>2.0</v>
      </c>
      <c r="D1181" s="87" t="s">
        <v>204</v>
      </c>
      <c r="E1181" s="89">
        <v>1.0</v>
      </c>
      <c r="F1181" s="89">
        <v>0.6223</v>
      </c>
      <c r="G1181" s="89">
        <v>0.337</v>
      </c>
      <c r="H1181" s="87" t="s">
        <v>227</v>
      </c>
      <c r="I1181" s="90">
        <f t="shared" si="1"/>
        <v>0.8465875371</v>
      </c>
      <c r="J1181" s="81">
        <f t="shared" si="2"/>
        <v>0.5415394504</v>
      </c>
    </row>
    <row r="1182">
      <c r="A1182" s="88">
        <v>44706.0</v>
      </c>
      <c r="B1182" s="89">
        <v>2331.0</v>
      </c>
      <c r="C1182" s="89">
        <v>1.0</v>
      </c>
      <c r="D1182" s="87" t="s">
        <v>205</v>
      </c>
      <c r="E1182" s="89">
        <v>0.0</v>
      </c>
      <c r="F1182" s="89">
        <v>1.1251</v>
      </c>
      <c r="G1182" s="89">
        <v>0.608</v>
      </c>
      <c r="H1182" s="87" t="s">
        <v>227</v>
      </c>
      <c r="I1182" s="90">
        <f t="shared" si="1"/>
        <v>0.8504934211</v>
      </c>
      <c r="J1182" s="81">
        <f t="shared" si="2"/>
        <v>0.5403964092</v>
      </c>
    </row>
    <row r="1183">
      <c r="A1183" s="88">
        <v>44706.0</v>
      </c>
      <c r="B1183" s="89">
        <v>2345.0</v>
      </c>
      <c r="C1183" s="89">
        <v>3.0</v>
      </c>
      <c r="D1183" s="87" t="s">
        <v>204</v>
      </c>
      <c r="E1183" s="89">
        <v>1.0</v>
      </c>
      <c r="F1183" s="89">
        <v>0.3596</v>
      </c>
      <c r="G1183" s="89">
        <v>0.194</v>
      </c>
      <c r="H1183" s="87" t="s">
        <v>227</v>
      </c>
      <c r="I1183" s="90">
        <f t="shared" si="1"/>
        <v>0.8536082474</v>
      </c>
      <c r="J1183" s="81">
        <f t="shared" si="2"/>
        <v>0.5394883204</v>
      </c>
    </row>
    <row r="1184">
      <c r="A1184" s="88">
        <v>44706.0</v>
      </c>
      <c r="B1184" s="89">
        <v>2021.0</v>
      </c>
      <c r="C1184" s="89">
        <v>1.0</v>
      </c>
      <c r="D1184" s="87" t="s">
        <v>205</v>
      </c>
      <c r="E1184" s="89">
        <v>0.0</v>
      </c>
      <c r="F1184" s="89">
        <v>0.5694</v>
      </c>
      <c r="G1184" s="89">
        <v>0.307</v>
      </c>
      <c r="H1184" s="87" t="s">
        <v>227</v>
      </c>
      <c r="I1184" s="90">
        <f t="shared" si="1"/>
        <v>0.854723127</v>
      </c>
      <c r="J1184" s="81">
        <f t="shared" si="2"/>
        <v>0.5391640323</v>
      </c>
    </row>
    <row r="1185">
      <c r="A1185" s="88">
        <v>44706.0</v>
      </c>
      <c r="B1185" s="89">
        <v>2301.0</v>
      </c>
      <c r="C1185" s="89">
        <v>2.0</v>
      </c>
      <c r="D1185" s="87" t="s">
        <v>204</v>
      </c>
      <c r="E1185" s="89">
        <v>1.0</v>
      </c>
      <c r="F1185" s="89">
        <v>0.505</v>
      </c>
      <c r="G1185" s="89">
        <v>0.272</v>
      </c>
      <c r="H1185" s="87" t="s">
        <v>227</v>
      </c>
      <c r="I1185" s="90">
        <f t="shared" si="1"/>
        <v>0.8566176471</v>
      </c>
      <c r="J1185" s="81">
        <f t="shared" si="2"/>
        <v>0.5386138614</v>
      </c>
    </row>
    <row r="1186">
      <c r="A1186" s="88">
        <v>44706.0</v>
      </c>
      <c r="B1186" s="89">
        <v>2371.0</v>
      </c>
      <c r="C1186" s="89">
        <v>2.0</v>
      </c>
      <c r="D1186" s="87" t="s">
        <v>204</v>
      </c>
      <c r="E1186" s="89">
        <v>1.0</v>
      </c>
      <c r="F1186" s="89">
        <v>0.4276</v>
      </c>
      <c r="G1186" s="89">
        <v>0.23</v>
      </c>
      <c r="H1186" s="87" t="s">
        <v>227</v>
      </c>
      <c r="I1186" s="90">
        <f t="shared" si="1"/>
        <v>0.8591304348</v>
      </c>
      <c r="J1186" s="81">
        <f t="shared" si="2"/>
        <v>0.5378858746</v>
      </c>
    </row>
    <row r="1187">
      <c r="A1187" s="88">
        <v>44706.0</v>
      </c>
      <c r="B1187" s="89">
        <v>2331.0</v>
      </c>
      <c r="C1187" s="89">
        <v>1.0</v>
      </c>
      <c r="D1187" s="87" t="s">
        <v>204</v>
      </c>
      <c r="E1187" s="89">
        <v>1.0</v>
      </c>
      <c r="F1187" s="89">
        <v>0.4117</v>
      </c>
      <c r="G1187" s="89">
        <v>0.221</v>
      </c>
      <c r="H1187" s="87" t="s">
        <v>227</v>
      </c>
      <c r="I1187" s="90">
        <f t="shared" si="1"/>
        <v>0.8628959276</v>
      </c>
      <c r="J1187" s="81">
        <f t="shared" si="2"/>
        <v>0.5367986398</v>
      </c>
    </row>
    <row r="1188">
      <c r="A1188" s="88">
        <v>44706.0</v>
      </c>
      <c r="B1188" s="89">
        <v>2369.0</v>
      </c>
      <c r="C1188" s="89">
        <v>3.0</v>
      </c>
      <c r="D1188" s="87" t="s">
        <v>205</v>
      </c>
      <c r="E1188" s="89">
        <v>0.0</v>
      </c>
      <c r="F1188" s="89">
        <v>0.9894</v>
      </c>
      <c r="G1188" s="89">
        <v>0.53</v>
      </c>
      <c r="H1188" s="87" t="s">
        <v>227</v>
      </c>
      <c r="I1188" s="90">
        <f t="shared" si="1"/>
        <v>0.8667924528</v>
      </c>
      <c r="J1188" s="81">
        <f t="shared" si="2"/>
        <v>0.5356781888</v>
      </c>
    </row>
    <row r="1189">
      <c r="A1189" s="88">
        <v>44706.0</v>
      </c>
      <c r="B1189" s="89">
        <v>2345.0</v>
      </c>
      <c r="C1189" s="89">
        <v>1.0</v>
      </c>
      <c r="D1189" s="87" t="s">
        <v>204</v>
      </c>
      <c r="E1189" s="89">
        <v>1.0</v>
      </c>
      <c r="F1189" s="89">
        <v>0.2539</v>
      </c>
      <c r="G1189" s="89">
        <v>0.136</v>
      </c>
      <c r="H1189" s="87" t="s">
        <v>227</v>
      </c>
      <c r="I1189" s="90">
        <f t="shared" si="1"/>
        <v>0.8669117647</v>
      </c>
      <c r="J1189" s="81">
        <f t="shared" si="2"/>
        <v>0.5356439543</v>
      </c>
    </row>
    <row r="1190">
      <c r="A1190" s="88">
        <v>44706.0</v>
      </c>
      <c r="B1190" s="89">
        <v>2331.0</v>
      </c>
      <c r="C1190" s="89">
        <v>3.0</v>
      </c>
      <c r="D1190" s="87" t="s">
        <v>205</v>
      </c>
      <c r="E1190" s="89">
        <v>0.0</v>
      </c>
      <c r="F1190" s="89">
        <v>2.706</v>
      </c>
      <c r="G1190" s="89">
        <v>1.449</v>
      </c>
      <c r="H1190" s="87" t="s">
        <v>227</v>
      </c>
      <c r="I1190" s="90">
        <f t="shared" si="1"/>
        <v>0.867494824</v>
      </c>
      <c r="J1190" s="81">
        <f t="shared" si="2"/>
        <v>0.5354767184</v>
      </c>
    </row>
    <row r="1191">
      <c r="A1191" s="88">
        <v>44706.0</v>
      </c>
      <c r="B1191" s="89">
        <v>2372.0</v>
      </c>
      <c r="C1191" s="89">
        <v>3.0</v>
      </c>
      <c r="D1191" s="87" t="s">
        <v>205</v>
      </c>
      <c r="E1191" s="89">
        <v>3.0</v>
      </c>
      <c r="F1191" s="89">
        <v>1.4545</v>
      </c>
      <c r="G1191" s="89">
        <v>0.775</v>
      </c>
      <c r="H1191" s="87" t="s">
        <v>227</v>
      </c>
      <c r="I1191" s="90">
        <f t="shared" si="1"/>
        <v>0.8767741935</v>
      </c>
      <c r="J1191" s="81">
        <f t="shared" si="2"/>
        <v>0.5328291509</v>
      </c>
    </row>
    <row r="1192">
      <c r="A1192" s="88">
        <v>44706.0</v>
      </c>
      <c r="B1192" s="89">
        <v>2371.0</v>
      </c>
      <c r="C1192" s="89">
        <v>1.0</v>
      </c>
      <c r="D1192" s="87" t="s">
        <v>204</v>
      </c>
      <c r="E1192" s="89">
        <v>1.0</v>
      </c>
      <c r="F1192" s="89">
        <v>0.284</v>
      </c>
      <c r="G1192" s="89">
        <v>0.151</v>
      </c>
      <c r="H1192" s="87" t="s">
        <v>227</v>
      </c>
      <c r="I1192" s="90">
        <f t="shared" si="1"/>
        <v>0.880794702</v>
      </c>
      <c r="J1192" s="81">
        <f t="shared" si="2"/>
        <v>0.5316901408</v>
      </c>
    </row>
    <row r="1193">
      <c r="A1193" s="88">
        <v>44706.0</v>
      </c>
      <c r="B1193" s="89">
        <v>2011.0</v>
      </c>
      <c r="C1193" s="89">
        <v>1.0</v>
      </c>
      <c r="D1193" s="87" t="s">
        <v>205</v>
      </c>
      <c r="E1193" s="89">
        <v>0.0</v>
      </c>
      <c r="F1193" s="89">
        <v>1.12</v>
      </c>
      <c r="G1193" s="89">
        <v>0.594</v>
      </c>
      <c r="H1193" s="87" t="s">
        <v>227</v>
      </c>
      <c r="I1193" s="90">
        <f t="shared" si="1"/>
        <v>0.8855218855</v>
      </c>
      <c r="J1193" s="81">
        <f t="shared" si="2"/>
        <v>0.5303571429</v>
      </c>
    </row>
    <row r="1194">
      <c r="A1194" s="88">
        <v>44706.0</v>
      </c>
      <c r="B1194" s="89">
        <v>2025.0</v>
      </c>
      <c r="C1194" s="89">
        <v>1.0</v>
      </c>
      <c r="D1194" s="87" t="s">
        <v>204</v>
      </c>
      <c r="E1194" s="89">
        <v>1.0</v>
      </c>
      <c r="F1194" s="89">
        <v>0.3715</v>
      </c>
      <c r="G1194" s="89">
        <v>0.197</v>
      </c>
      <c r="H1194" s="87" t="s">
        <v>227</v>
      </c>
      <c r="I1194" s="90">
        <f t="shared" si="1"/>
        <v>0.885786802</v>
      </c>
      <c r="J1194" s="81">
        <f t="shared" si="2"/>
        <v>0.530282638</v>
      </c>
    </row>
    <row r="1195">
      <c r="A1195" s="88">
        <v>44706.0</v>
      </c>
      <c r="B1195" s="89">
        <v>2371.0</v>
      </c>
      <c r="C1195" s="89">
        <v>2.0</v>
      </c>
      <c r="D1195" s="87" t="s">
        <v>205</v>
      </c>
      <c r="E1195" s="89">
        <v>0.0</v>
      </c>
      <c r="F1195" s="89">
        <v>0.5338</v>
      </c>
      <c r="G1195" s="89">
        <v>0.283</v>
      </c>
      <c r="H1195" s="87" t="s">
        <v>227</v>
      </c>
      <c r="I1195" s="90">
        <f t="shared" si="1"/>
        <v>0.8862190813</v>
      </c>
      <c r="J1195" s="81">
        <f t="shared" si="2"/>
        <v>0.530161109</v>
      </c>
    </row>
    <row r="1196">
      <c r="A1196" s="88">
        <v>44706.0</v>
      </c>
      <c r="B1196" s="89">
        <v>2382.0</v>
      </c>
      <c r="C1196" s="89">
        <v>2.0</v>
      </c>
      <c r="D1196" s="87" t="s">
        <v>205</v>
      </c>
      <c r="E1196" s="89">
        <v>0.0</v>
      </c>
      <c r="F1196" s="89">
        <v>1.1546</v>
      </c>
      <c r="G1196" s="89">
        <v>0.611</v>
      </c>
      <c r="H1196" s="87" t="s">
        <v>227</v>
      </c>
      <c r="I1196" s="90">
        <f t="shared" si="1"/>
        <v>0.8896890344</v>
      </c>
      <c r="J1196" s="81">
        <f t="shared" si="2"/>
        <v>0.5291875974</v>
      </c>
    </row>
    <row r="1197">
      <c r="A1197" s="88">
        <v>44706.0</v>
      </c>
      <c r="B1197" s="89">
        <v>2347.0</v>
      </c>
      <c r="C1197" s="89">
        <v>3.0</v>
      </c>
      <c r="D1197" s="87" t="s">
        <v>204</v>
      </c>
      <c r="E1197" s="89">
        <v>1.0</v>
      </c>
      <c r="F1197" s="89">
        <v>0.2036</v>
      </c>
      <c r="G1197" s="89">
        <v>0.1076</v>
      </c>
      <c r="H1197" s="87" t="s">
        <v>227</v>
      </c>
      <c r="I1197" s="90">
        <f t="shared" si="1"/>
        <v>0.8921933086</v>
      </c>
      <c r="J1197" s="81">
        <f t="shared" si="2"/>
        <v>0.5284872299</v>
      </c>
    </row>
    <row r="1198">
      <c r="A1198" s="88">
        <v>44706.0</v>
      </c>
      <c r="B1198" s="89">
        <v>2010.0</v>
      </c>
      <c r="C1198" s="89">
        <v>3.0</v>
      </c>
      <c r="D1198" s="87" t="s">
        <v>204</v>
      </c>
      <c r="E1198" s="89">
        <v>1.0</v>
      </c>
      <c r="F1198" s="89">
        <v>0.6782</v>
      </c>
      <c r="G1198" s="89">
        <v>0.358</v>
      </c>
      <c r="H1198" s="87" t="s">
        <v>227</v>
      </c>
      <c r="I1198" s="90">
        <f t="shared" si="1"/>
        <v>0.8944134078</v>
      </c>
      <c r="J1198" s="81">
        <f t="shared" si="2"/>
        <v>0.5278678856</v>
      </c>
    </row>
    <row r="1199">
      <c r="A1199" s="88">
        <v>44706.0</v>
      </c>
      <c r="B1199" s="89">
        <v>2372.0</v>
      </c>
      <c r="C1199" s="89">
        <v>1.0</v>
      </c>
      <c r="D1199" s="87" t="s">
        <v>205</v>
      </c>
      <c r="E1199" s="89">
        <v>0.0</v>
      </c>
      <c r="F1199" s="89">
        <v>1.0995</v>
      </c>
      <c r="G1199" s="89">
        <v>0.58</v>
      </c>
      <c r="H1199" s="87" t="s">
        <v>227</v>
      </c>
      <c r="I1199" s="90">
        <f t="shared" si="1"/>
        <v>0.8956896552</v>
      </c>
      <c r="J1199" s="81">
        <f t="shared" si="2"/>
        <v>0.5275125057</v>
      </c>
    </row>
    <row r="1200">
      <c r="A1200" s="88">
        <v>44706.0</v>
      </c>
      <c r="B1200" s="89">
        <v>2371.0</v>
      </c>
      <c r="C1200" s="89">
        <v>1.0</v>
      </c>
      <c r="D1200" s="87" t="s">
        <v>205</v>
      </c>
      <c r="E1200" s="89">
        <v>0.0</v>
      </c>
      <c r="F1200" s="89">
        <v>1.7126</v>
      </c>
      <c r="G1200" s="89">
        <v>0.903</v>
      </c>
      <c r="H1200" s="87" t="s">
        <v>227</v>
      </c>
      <c r="I1200" s="90">
        <f t="shared" si="1"/>
        <v>0.8965669989</v>
      </c>
      <c r="J1200" s="81">
        <f t="shared" si="2"/>
        <v>0.5272684807</v>
      </c>
    </row>
    <row r="1201">
      <c r="A1201" s="88">
        <v>44706.0</v>
      </c>
      <c r="B1201" s="89">
        <v>2369.0</v>
      </c>
      <c r="C1201" s="89">
        <v>1.0</v>
      </c>
      <c r="D1201" s="87" t="s">
        <v>205</v>
      </c>
      <c r="E1201" s="89">
        <v>0.0</v>
      </c>
      <c r="F1201" s="89">
        <v>1.0829</v>
      </c>
      <c r="G1201" s="89">
        <v>0.57</v>
      </c>
      <c r="H1201" s="87" t="s">
        <v>227</v>
      </c>
      <c r="I1201" s="90">
        <f t="shared" si="1"/>
        <v>0.8998245614</v>
      </c>
      <c r="J1201" s="81">
        <f t="shared" si="2"/>
        <v>0.5263643919</v>
      </c>
    </row>
    <row r="1202">
      <c r="A1202" s="88">
        <v>44706.0</v>
      </c>
      <c r="B1202" s="89">
        <v>2369.0</v>
      </c>
      <c r="C1202" s="89">
        <v>2.0</v>
      </c>
      <c r="D1202" s="87" t="s">
        <v>205</v>
      </c>
      <c r="E1202" s="89">
        <v>0.0</v>
      </c>
      <c r="F1202" s="89">
        <v>1.7319</v>
      </c>
      <c r="G1202" s="89">
        <v>0.911</v>
      </c>
      <c r="H1202" s="87" t="s">
        <v>227</v>
      </c>
      <c r="I1202" s="90">
        <f t="shared" si="1"/>
        <v>0.9010976948</v>
      </c>
      <c r="J1202" s="81">
        <f t="shared" si="2"/>
        <v>0.5260118945</v>
      </c>
    </row>
    <row r="1203">
      <c r="A1203" s="88">
        <v>44706.0</v>
      </c>
      <c r="B1203" s="89">
        <v>2371.0</v>
      </c>
      <c r="C1203" s="89">
        <v>3.0</v>
      </c>
      <c r="D1203" s="87" t="s">
        <v>205</v>
      </c>
      <c r="E1203" s="89">
        <v>0.0</v>
      </c>
      <c r="F1203" s="89">
        <v>0.4209</v>
      </c>
      <c r="G1203" s="89">
        <v>0.221</v>
      </c>
      <c r="H1203" s="87" t="s">
        <v>227</v>
      </c>
      <c r="I1203" s="90">
        <f t="shared" si="1"/>
        <v>0.9045248869</v>
      </c>
      <c r="J1203" s="81">
        <f t="shared" si="2"/>
        <v>0.5250653362</v>
      </c>
    </row>
    <row r="1204">
      <c r="A1204" s="88">
        <v>44706.0</v>
      </c>
      <c r="B1204" s="89">
        <v>2381.0</v>
      </c>
      <c r="C1204" s="89">
        <v>3.0</v>
      </c>
      <c r="D1204" s="87" t="s">
        <v>205</v>
      </c>
      <c r="E1204" s="89">
        <v>0.0</v>
      </c>
      <c r="F1204" s="89">
        <v>1.0952</v>
      </c>
      <c r="G1204" s="89">
        <v>0.575</v>
      </c>
      <c r="H1204" s="87" t="s">
        <v>227</v>
      </c>
      <c r="I1204" s="90">
        <f t="shared" si="1"/>
        <v>0.9046956522</v>
      </c>
      <c r="J1204" s="81">
        <f t="shared" si="2"/>
        <v>0.5250182615</v>
      </c>
    </row>
    <row r="1205">
      <c r="A1205" s="88">
        <v>44706.0</v>
      </c>
      <c r="B1205" s="89">
        <v>2331.0</v>
      </c>
      <c r="C1205" s="89">
        <v>3.0</v>
      </c>
      <c r="D1205" s="87" t="s">
        <v>204</v>
      </c>
      <c r="E1205" s="89">
        <v>1.0</v>
      </c>
      <c r="F1205" s="89">
        <v>0.4468</v>
      </c>
      <c r="G1205" s="89">
        <v>0.234</v>
      </c>
      <c r="H1205" s="87" t="s">
        <v>227</v>
      </c>
      <c r="I1205" s="90">
        <f t="shared" si="1"/>
        <v>0.9094017094</v>
      </c>
      <c r="J1205" s="81">
        <f t="shared" si="2"/>
        <v>0.5237242614</v>
      </c>
    </row>
    <row r="1206">
      <c r="A1206" s="88">
        <v>44706.0</v>
      </c>
      <c r="B1206" s="89">
        <v>2371.0</v>
      </c>
      <c r="C1206" s="89">
        <v>3.0</v>
      </c>
      <c r="D1206" s="87" t="s">
        <v>204</v>
      </c>
      <c r="E1206" s="89">
        <v>1.0</v>
      </c>
      <c r="F1206" s="89">
        <v>0.1818</v>
      </c>
      <c r="G1206" s="89">
        <v>0.095</v>
      </c>
      <c r="H1206" s="87" t="s">
        <v>227</v>
      </c>
      <c r="I1206" s="90">
        <f t="shared" si="1"/>
        <v>0.9136842105</v>
      </c>
      <c r="J1206" s="81">
        <f t="shared" si="2"/>
        <v>0.5225522552</v>
      </c>
    </row>
    <row r="1207">
      <c r="A1207" s="88">
        <v>44706.0</v>
      </c>
      <c r="B1207" s="89">
        <v>2301.0</v>
      </c>
      <c r="C1207" s="89">
        <v>1.0</v>
      </c>
      <c r="D1207" s="87" t="s">
        <v>204</v>
      </c>
      <c r="E1207" s="89">
        <v>1.0</v>
      </c>
      <c r="F1207" s="89">
        <v>0.1956</v>
      </c>
      <c r="G1207" s="89">
        <v>0.102</v>
      </c>
      <c r="H1207" s="87" t="s">
        <v>227</v>
      </c>
      <c r="I1207" s="90">
        <f t="shared" si="1"/>
        <v>0.9176470588</v>
      </c>
      <c r="J1207" s="81">
        <f t="shared" si="2"/>
        <v>0.5214723926</v>
      </c>
    </row>
    <row r="1208">
      <c r="A1208" s="88">
        <v>44706.0</v>
      </c>
      <c r="B1208" s="89">
        <v>2331.0</v>
      </c>
      <c r="C1208" s="89">
        <v>2.0</v>
      </c>
      <c r="D1208" s="87" t="s">
        <v>204</v>
      </c>
      <c r="E1208" s="89">
        <v>0.0</v>
      </c>
      <c r="F1208" s="89">
        <v>0.1822</v>
      </c>
      <c r="G1208" s="89">
        <v>0.095</v>
      </c>
      <c r="H1208" s="87" t="s">
        <v>227</v>
      </c>
      <c r="I1208" s="90">
        <f t="shared" si="1"/>
        <v>0.9178947368</v>
      </c>
      <c r="J1208" s="81">
        <f t="shared" si="2"/>
        <v>0.5214050494</v>
      </c>
    </row>
    <row r="1209">
      <c r="A1209" s="88">
        <v>44706.0</v>
      </c>
      <c r="B1209" s="89">
        <v>2380.0</v>
      </c>
      <c r="C1209" s="89">
        <v>3.0</v>
      </c>
      <c r="D1209" s="87" t="s">
        <v>205</v>
      </c>
      <c r="E1209" s="89">
        <v>0.0</v>
      </c>
      <c r="F1209" s="89">
        <v>0.0735</v>
      </c>
      <c r="G1209" s="89">
        <v>0.0383</v>
      </c>
      <c r="H1209" s="87" t="s">
        <v>227</v>
      </c>
      <c r="I1209" s="90">
        <f t="shared" si="1"/>
        <v>0.9190600522</v>
      </c>
      <c r="J1209" s="81">
        <f t="shared" si="2"/>
        <v>0.5210884354</v>
      </c>
    </row>
    <row r="1210">
      <c r="A1210" s="88">
        <v>44706.0</v>
      </c>
      <c r="B1210" s="89">
        <v>2025.0</v>
      </c>
      <c r="C1210" s="89">
        <v>3.0</v>
      </c>
      <c r="D1210" s="87" t="s">
        <v>204</v>
      </c>
      <c r="E1210" s="89">
        <v>1.0</v>
      </c>
      <c r="F1210" s="89">
        <v>0.2304</v>
      </c>
      <c r="G1210" s="89">
        <v>0.12</v>
      </c>
      <c r="H1210" s="87" t="s">
        <v>227</v>
      </c>
      <c r="I1210" s="90">
        <f t="shared" si="1"/>
        <v>0.92</v>
      </c>
      <c r="J1210" s="81">
        <f t="shared" si="2"/>
        <v>0.5208333333</v>
      </c>
    </row>
    <row r="1211">
      <c r="A1211" s="88">
        <v>44706.0</v>
      </c>
      <c r="B1211" s="89">
        <v>2331.0</v>
      </c>
      <c r="C1211" s="89">
        <v>2.0</v>
      </c>
      <c r="D1211" s="87" t="s">
        <v>204</v>
      </c>
      <c r="E1211" s="89">
        <v>1.0</v>
      </c>
      <c r="F1211" s="89">
        <v>0.5341</v>
      </c>
      <c r="G1211" s="89">
        <v>0.278</v>
      </c>
      <c r="H1211" s="87" t="s">
        <v>227</v>
      </c>
      <c r="I1211" s="90">
        <f t="shared" si="1"/>
        <v>0.9212230216</v>
      </c>
      <c r="J1211" s="81">
        <f t="shared" si="2"/>
        <v>0.5205017787</v>
      </c>
    </row>
    <row r="1212">
      <c r="A1212" s="88">
        <v>44706.0</v>
      </c>
      <c r="B1212" s="89">
        <v>2369.0</v>
      </c>
      <c r="C1212" s="89">
        <v>2.0</v>
      </c>
      <c r="D1212" s="87" t="s">
        <v>204</v>
      </c>
      <c r="E1212" s="89">
        <v>1.0</v>
      </c>
      <c r="F1212" s="89">
        <v>0.2558</v>
      </c>
      <c r="G1212" s="89">
        <v>0.133</v>
      </c>
      <c r="H1212" s="87" t="s">
        <v>227</v>
      </c>
      <c r="I1212" s="90">
        <f t="shared" si="1"/>
        <v>0.9233082707</v>
      </c>
      <c r="J1212" s="81">
        <f t="shared" si="2"/>
        <v>0.5199374511</v>
      </c>
    </row>
    <row r="1213">
      <c r="A1213" s="88">
        <v>44706.0</v>
      </c>
      <c r="B1213" s="89">
        <v>2025.0</v>
      </c>
      <c r="C1213" s="89">
        <v>1.0</v>
      </c>
      <c r="D1213" s="87" t="s">
        <v>205</v>
      </c>
      <c r="E1213" s="89">
        <v>0.0</v>
      </c>
      <c r="F1213" s="89">
        <v>1.2606</v>
      </c>
      <c r="G1213" s="89">
        <v>0.655</v>
      </c>
      <c r="H1213" s="87" t="s">
        <v>227</v>
      </c>
      <c r="I1213" s="90">
        <f t="shared" si="1"/>
        <v>0.9245801527</v>
      </c>
      <c r="J1213" s="81">
        <f t="shared" si="2"/>
        <v>0.5195938442</v>
      </c>
    </row>
    <row r="1214">
      <c r="A1214" s="88">
        <v>44706.0</v>
      </c>
      <c r="B1214" s="89">
        <v>2347.0</v>
      </c>
      <c r="C1214" s="89">
        <v>2.0</v>
      </c>
      <c r="D1214" s="87" t="s">
        <v>204</v>
      </c>
      <c r="E1214" s="89">
        <v>1.0</v>
      </c>
      <c r="F1214" s="89">
        <v>0.4486</v>
      </c>
      <c r="G1214" s="89">
        <v>0.233</v>
      </c>
      <c r="H1214" s="87" t="s">
        <v>227</v>
      </c>
      <c r="I1214" s="90">
        <f t="shared" si="1"/>
        <v>0.9253218884</v>
      </c>
      <c r="J1214" s="81">
        <f t="shared" si="2"/>
        <v>0.5193936692</v>
      </c>
    </row>
    <row r="1215">
      <c r="A1215" s="88">
        <v>44706.0</v>
      </c>
      <c r="B1215" s="89">
        <v>2011.0</v>
      </c>
      <c r="C1215" s="89">
        <v>1.0</v>
      </c>
      <c r="D1215" s="87" t="s">
        <v>204</v>
      </c>
      <c r="E1215" s="89">
        <v>1.0</v>
      </c>
      <c r="F1215" s="89">
        <v>0.5181</v>
      </c>
      <c r="G1215" s="89">
        <v>0.269</v>
      </c>
      <c r="H1215" s="87" t="s">
        <v>227</v>
      </c>
      <c r="I1215" s="90">
        <f t="shared" si="1"/>
        <v>0.9260223048</v>
      </c>
      <c r="J1215" s="81">
        <f t="shared" si="2"/>
        <v>0.5192047867</v>
      </c>
    </row>
    <row r="1216">
      <c r="A1216" s="88">
        <v>44706.0</v>
      </c>
      <c r="B1216" s="89">
        <v>2378.0</v>
      </c>
      <c r="C1216" s="89">
        <v>1.0</v>
      </c>
      <c r="D1216" s="87" t="s">
        <v>204</v>
      </c>
      <c r="E1216" s="89">
        <v>1.0</v>
      </c>
      <c r="F1216" s="89">
        <v>0.2138</v>
      </c>
      <c r="G1216" s="89">
        <v>0.111</v>
      </c>
      <c r="H1216" s="87" t="s">
        <v>227</v>
      </c>
      <c r="I1216" s="90">
        <f t="shared" si="1"/>
        <v>0.9261261261</v>
      </c>
      <c r="J1216" s="81">
        <f t="shared" si="2"/>
        <v>0.5191768007</v>
      </c>
    </row>
    <row r="1217">
      <c r="A1217" s="88">
        <v>44706.0</v>
      </c>
      <c r="B1217" s="89">
        <v>2024.0</v>
      </c>
      <c r="C1217" s="89">
        <v>1.0</v>
      </c>
      <c r="D1217" s="87" t="s">
        <v>204</v>
      </c>
      <c r="E1217" s="89">
        <v>1.0</v>
      </c>
      <c r="F1217" s="89">
        <v>0.0887</v>
      </c>
      <c r="G1217" s="89">
        <v>0.046</v>
      </c>
      <c r="H1217" s="87" t="s">
        <v>227</v>
      </c>
      <c r="I1217" s="90">
        <f t="shared" si="1"/>
        <v>0.9282608696</v>
      </c>
      <c r="J1217" s="81">
        <f t="shared" si="2"/>
        <v>0.5186020293</v>
      </c>
    </row>
    <row r="1218">
      <c r="A1218" s="88">
        <v>44706.0</v>
      </c>
      <c r="B1218" s="89">
        <v>2347.0</v>
      </c>
      <c r="C1218" s="89">
        <v>1.0</v>
      </c>
      <c r="D1218" s="87" t="s">
        <v>204</v>
      </c>
      <c r="E1218" s="89">
        <v>1.0</v>
      </c>
      <c r="F1218" s="89">
        <v>0.1595</v>
      </c>
      <c r="G1218" s="89">
        <v>0.0826</v>
      </c>
      <c r="H1218" s="87" t="s">
        <v>227</v>
      </c>
      <c r="I1218" s="90">
        <f t="shared" si="1"/>
        <v>0.9309927361</v>
      </c>
      <c r="J1218" s="81">
        <f t="shared" si="2"/>
        <v>0.5178683386</v>
      </c>
    </row>
    <row r="1219">
      <c r="A1219" s="88">
        <v>44706.0</v>
      </c>
      <c r="B1219" s="89">
        <v>2375.0</v>
      </c>
      <c r="C1219" s="89">
        <v>1.0</v>
      </c>
      <c r="D1219" s="87" t="s">
        <v>204</v>
      </c>
      <c r="E1219" s="89">
        <v>1.0</v>
      </c>
      <c r="F1219" s="89">
        <v>0.201</v>
      </c>
      <c r="G1219" s="89">
        <v>0.104</v>
      </c>
      <c r="H1219" s="87" t="s">
        <v>227</v>
      </c>
      <c r="I1219" s="90">
        <f t="shared" si="1"/>
        <v>0.9326923077</v>
      </c>
      <c r="J1219" s="81">
        <f t="shared" si="2"/>
        <v>0.5174129353</v>
      </c>
    </row>
    <row r="1220">
      <c r="A1220" s="88">
        <v>44706.0</v>
      </c>
      <c r="B1220" s="89">
        <v>2025.0</v>
      </c>
      <c r="C1220" s="89">
        <v>3.0</v>
      </c>
      <c r="D1220" s="87" t="s">
        <v>205</v>
      </c>
      <c r="E1220" s="89">
        <v>0.0</v>
      </c>
      <c r="F1220" s="89">
        <v>1.216</v>
      </c>
      <c r="G1220" s="89">
        <v>0.629</v>
      </c>
      <c r="H1220" s="87" t="s">
        <v>227</v>
      </c>
      <c r="I1220" s="90">
        <f t="shared" si="1"/>
        <v>0.933227345</v>
      </c>
      <c r="J1220" s="81">
        <f t="shared" si="2"/>
        <v>0.5172697368</v>
      </c>
    </row>
    <row r="1221">
      <c r="A1221" s="88">
        <v>44706.0</v>
      </c>
      <c r="B1221" s="89">
        <v>2011.0</v>
      </c>
      <c r="C1221" s="89">
        <v>3.0</v>
      </c>
      <c r="D1221" s="87" t="s">
        <v>205</v>
      </c>
      <c r="E1221" s="89">
        <v>0.0</v>
      </c>
      <c r="F1221" s="89">
        <v>0.781</v>
      </c>
      <c r="G1221" s="89">
        <v>0.402</v>
      </c>
      <c r="H1221" s="87" t="s">
        <v>227</v>
      </c>
      <c r="I1221" s="90">
        <f t="shared" si="1"/>
        <v>0.9427860697</v>
      </c>
      <c r="J1221" s="81">
        <f t="shared" si="2"/>
        <v>0.5147247119</v>
      </c>
    </row>
    <row r="1222">
      <c r="A1222" s="88">
        <v>44706.0</v>
      </c>
      <c r="B1222" s="89">
        <v>2009.0</v>
      </c>
      <c r="C1222" s="89">
        <v>2.0</v>
      </c>
      <c r="D1222" s="87" t="s">
        <v>204</v>
      </c>
      <c r="E1222" s="89">
        <v>1.0</v>
      </c>
      <c r="F1222" s="89">
        <v>0.2682</v>
      </c>
      <c r="G1222" s="89">
        <v>0.138</v>
      </c>
      <c r="H1222" s="87" t="s">
        <v>227</v>
      </c>
      <c r="I1222" s="90">
        <f t="shared" si="1"/>
        <v>0.9434782609</v>
      </c>
      <c r="J1222" s="81">
        <f t="shared" si="2"/>
        <v>0.514541387</v>
      </c>
    </row>
    <row r="1223">
      <c r="A1223" s="88">
        <v>44706.0</v>
      </c>
      <c r="B1223" s="89">
        <v>2011.0</v>
      </c>
      <c r="C1223" s="89">
        <v>2.0</v>
      </c>
      <c r="D1223" s="87" t="s">
        <v>205</v>
      </c>
      <c r="E1223" s="89">
        <v>0.0</v>
      </c>
      <c r="F1223" s="89">
        <v>0.5814</v>
      </c>
      <c r="G1223" s="89">
        <v>0.299</v>
      </c>
      <c r="H1223" s="87" t="s">
        <v>227</v>
      </c>
      <c r="I1223" s="90">
        <f t="shared" si="1"/>
        <v>0.9444816054</v>
      </c>
      <c r="J1223" s="81">
        <f t="shared" si="2"/>
        <v>0.5142758858</v>
      </c>
    </row>
    <row r="1224">
      <c r="A1224" s="88">
        <v>44706.0</v>
      </c>
      <c r="B1224" s="89">
        <v>2009.0</v>
      </c>
      <c r="C1224" s="89">
        <v>1.0</v>
      </c>
      <c r="D1224" s="87" t="s">
        <v>204</v>
      </c>
      <c r="E1224" s="89">
        <v>1.0</v>
      </c>
      <c r="F1224" s="89">
        <v>0.4376</v>
      </c>
      <c r="G1224" s="89">
        <v>0.225</v>
      </c>
      <c r="H1224" s="87" t="s">
        <v>227</v>
      </c>
      <c r="I1224" s="90">
        <f t="shared" si="1"/>
        <v>0.9448888889</v>
      </c>
      <c r="J1224" s="81">
        <f t="shared" si="2"/>
        <v>0.5141681901</v>
      </c>
    </row>
    <row r="1225">
      <c r="A1225" s="88">
        <v>44706.0</v>
      </c>
      <c r="B1225" s="89">
        <v>2010.0</v>
      </c>
      <c r="C1225" s="89">
        <v>3.0</v>
      </c>
      <c r="D1225" s="87" t="s">
        <v>205</v>
      </c>
      <c r="E1225" s="89">
        <v>0.0</v>
      </c>
      <c r="F1225" s="89">
        <v>2.3777</v>
      </c>
      <c r="G1225" s="89">
        <v>1.222</v>
      </c>
      <c r="H1225" s="87" t="s">
        <v>227</v>
      </c>
      <c r="I1225" s="90">
        <f t="shared" si="1"/>
        <v>0.9457446809</v>
      </c>
      <c r="J1225" s="81">
        <f t="shared" si="2"/>
        <v>0.5139420448</v>
      </c>
    </row>
    <row r="1226">
      <c r="A1226" s="88">
        <v>44706.0</v>
      </c>
      <c r="B1226" s="89">
        <v>2381.0</v>
      </c>
      <c r="C1226" s="89">
        <v>2.0</v>
      </c>
      <c r="D1226" s="87" t="s">
        <v>205</v>
      </c>
      <c r="E1226" s="89">
        <v>0.0</v>
      </c>
      <c r="F1226" s="89">
        <v>1.6365</v>
      </c>
      <c r="G1226" s="89">
        <v>0.841</v>
      </c>
      <c r="H1226" s="87" t="s">
        <v>227</v>
      </c>
      <c r="I1226" s="90">
        <f t="shared" si="1"/>
        <v>0.9458977408</v>
      </c>
      <c r="J1226" s="81">
        <f t="shared" si="2"/>
        <v>0.5139016193</v>
      </c>
    </row>
    <row r="1227">
      <c r="A1227" s="88">
        <v>44706.0</v>
      </c>
      <c r="B1227" s="89">
        <v>2371.0</v>
      </c>
      <c r="C1227" s="89">
        <v>3.0</v>
      </c>
      <c r="D1227" s="87" t="s">
        <v>204</v>
      </c>
      <c r="E1227" s="89">
        <v>0.0</v>
      </c>
      <c r="F1227" s="89">
        <v>0.0253</v>
      </c>
      <c r="G1227" s="89">
        <v>0.013</v>
      </c>
      <c r="H1227" s="87" t="s">
        <v>227</v>
      </c>
      <c r="I1227" s="90">
        <f t="shared" si="1"/>
        <v>0.9461538462</v>
      </c>
      <c r="J1227" s="81">
        <f t="shared" si="2"/>
        <v>0.5138339921</v>
      </c>
    </row>
    <row r="1228">
      <c r="A1228" s="88">
        <v>44706.0</v>
      </c>
      <c r="B1228" s="89">
        <v>2024.0</v>
      </c>
      <c r="C1228" s="89">
        <v>2.0</v>
      </c>
      <c r="D1228" s="87" t="s">
        <v>204</v>
      </c>
      <c r="E1228" s="89">
        <v>1.0</v>
      </c>
      <c r="F1228" s="89">
        <v>0.1616</v>
      </c>
      <c r="G1228" s="89">
        <v>0.083</v>
      </c>
      <c r="H1228" s="87" t="s">
        <v>227</v>
      </c>
      <c r="I1228" s="90">
        <f t="shared" si="1"/>
        <v>0.9469879518</v>
      </c>
      <c r="J1228" s="81">
        <f t="shared" si="2"/>
        <v>0.5136138614</v>
      </c>
    </row>
    <row r="1229">
      <c r="A1229" s="88">
        <v>44706.0</v>
      </c>
      <c r="B1229" s="89">
        <v>2011.0</v>
      </c>
      <c r="C1229" s="89">
        <v>3.0</v>
      </c>
      <c r="D1229" s="87" t="s">
        <v>204</v>
      </c>
      <c r="E1229" s="89">
        <v>1.0</v>
      </c>
      <c r="F1229" s="89">
        <v>0.5633</v>
      </c>
      <c r="G1229" s="89">
        <v>0.289</v>
      </c>
      <c r="H1229" s="87" t="s">
        <v>227</v>
      </c>
      <c r="I1229" s="90">
        <f t="shared" si="1"/>
        <v>0.9491349481</v>
      </c>
      <c r="J1229" s="81">
        <f t="shared" si="2"/>
        <v>0.5130481094</v>
      </c>
    </row>
    <row r="1230">
      <c r="A1230" s="88">
        <v>44706.0</v>
      </c>
      <c r="B1230" s="89">
        <v>2009.0</v>
      </c>
      <c r="C1230" s="89">
        <v>2.0</v>
      </c>
      <c r="D1230" s="87" t="s">
        <v>205</v>
      </c>
      <c r="E1230" s="89">
        <v>0.0</v>
      </c>
      <c r="F1230" s="89">
        <v>0.7977</v>
      </c>
      <c r="G1230" s="89">
        <v>0.409</v>
      </c>
      <c r="H1230" s="87" t="s">
        <v>227</v>
      </c>
      <c r="I1230" s="90">
        <f t="shared" si="1"/>
        <v>0.9503667482</v>
      </c>
      <c r="J1230" s="81">
        <f t="shared" si="2"/>
        <v>0.5127240817</v>
      </c>
    </row>
    <row r="1231">
      <c r="A1231" s="88">
        <v>44706.0</v>
      </c>
      <c r="B1231" s="89">
        <v>2023.0</v>
      </c>
      <c r="C1231" s="89">
        <v>1.0</v>
      </c>
      <c r="D1231" s="87" t="s">
        <v>204</v>
      </c>
      <c r="E1231" s="89">
        <v>0.0</v>
      </c>
      <c r="F1231" s="89">
        <v>0.1507</v>
      </c>
      <c r="G1231" s="89">
        <v>0.0772</v>
      </c>
      <c r="H1231" s="87" t="s">
        <v>227</v>
      </c>
      <c r="I1231" s="90">
        <f t="shared" si="1"/>
        <v>0.9520725389</v>
      </c>
      <c r="J1231" s="81">
        <f t="shared" si="2"/>
        <v>0.5122760451</v>
      </c>
    </row>
    <row r="1232">
      <c r="A1232" s="88">
        <v>44706.0</v>
      </c>
      <c r="B1232" s="89">
        <v>2331.0</v>
      </c>
      <c r="C1232" s="89">
        <v>1.0</v>
      </c>
      <c r="D1232" s="87" t="s">
        <v>204</v>
      </c>
      <c r="E1232" s="89">
        <v>0.0</v>
      </c>
      <c r="F1232" s="89">
        <v>0.1545</v>
      </c>
      <c r="G1232" s="89">
        <v>0.079</v>
      </c>
      <c r="H1232" s="87" t="s">
        <v>227</v>
      </c>
      <c r="I1232" s="90">
        <f t="shared" si="1"/>
        <v>0.9556962025</v>
      </c>
      <c r="J1232" s="81">
        <f t="shared" si="2"/>
        <v>0.5113268608</v>
      </c>
    </row>
    <row r="1233">
      <c r="A1233" s="88">
        <v>44706.0</v>
      </c>
      <c r="B1233" s="89">
        <v>2010.0</v>
      </c>
      <c r="C1233" s="89">
        <v>1.0</v>
      </c>
      <c r="D1233" s="87" t="s">
        <v>204</v>
      </c>
      <c r="E1233" s="89">
        <v>1.0</v>
      </c>
      <c r="F1233" s="89">
        <v>0.3172</v>
      </c>
      <c r="G1233" s="89">
        <v>0.162</v>
      </c>
      <c r="H1233" s="87" t="s">
        <v>227</v>
      </c>
      <c r="I1233" s="90">
        <f t="shared" si="1"/>
        <v>0.9580246914</v>
      </c>
      <c r="J1233" s="81">
        <f t="shared" si="2"/>
        <v>0.5107187894</v>
      </c>
    </row>
    <row r="1234">
      <c r="A1234" s="88">
        <v>44706.0</v>
      </c>
      <c r="B1234" s="89">
        <v>2025.0</v>
      </c>
      <c r="C1234" s="89">
        <v>2.0</v>
      </c>
      <c r="D1234" s="87" t="s">
        <v>205</v>
      </c>
      <c r="E1234" s="89">
        <v>0.0</v>
      </c>
      <c r="F1234" s="89">
        <v>1.5927</v>
      </c>
      <c r="G1234" s="89">
        <v>0.811</v>
      </c>
      <c r="H1234" s="87" t="s">
        <v>227</v>
      </c>
      <c r="I1234" s="90">
        <f t="shared" si="1"/>
        <v>0.9638717633</v>
      </c>
      <c r="J1234" s="81">
        <f t="shared" si="2"/>
        <v>0.5091982169</v>
      </c>
    </row>
    <row r="1235">
      <c r="A1235" s="88">
        <v>44706.0</v>
      </c>
      <c r="B1235" s="89">
        <v>2346.0</v>
      </c>
      <c r="C1235" s="89">
        <v>1.0</v>
      </c>
      <c r="D1235" s="87" t="s">
        <v>205</v>
      </c>
      <c r="E1235" s="89">
        <v>0.0</v>
      </c>
      <c r="F1235" s="89">
        <v>0.7445</v>
      </c>
      <c r="G1235" s="89">
        <v>0.379</v>
      </c>
      <c r="H1235" s="87" t="s">
        <v>227</v>
      </c>
      <c r="I1235" s="90">
        <f t="shared" si="1"/>
        <v>0.9643799472</v>
      </c>
      <c r="J1235" s="81">
        <f t="shared" si="2"/>
        <v>0.5090664876</v>
      </c>
    </row>
    <row r="1236">
      <c r="A1236" s="88">
        <v>44706.0</v>
      </c>
      <c r="B1236" s="89">
        <v>2010.0</v>
      </c>
      <c r="C1236" s="89">
        <v>2.0</v>
      </c>
      <c r="D1236" s="87" t="s">
        <v>204</v>
      </c>
      <c r="E1236" s="89">
        <v>1.0</v>
      </c>
      <c r="F1236" s="89">
        <v>0.7125</v>
      </c>
      <c r="G1236" s="89">
        <v>0.362</v>
      </c>
      <c r="H1236" s="87" t="s">
        <v>227</v>
      </c>
      <c r="I1236" s="90">
        <f t="shared" si="1"/>
        <v>0.9682320442</v>
      </c>
      <c r="J1236" s="81">
        <f t="shared" si="2"/>
        <v>0.5080701754</v>
      </c>
    </row>
    <row r="1237">
      <c r="A1237" s="88">
        <v>44706.0</v>
      </c>
      <c r="B1237" s="89">
        <v>2381.0</v>
      </c>
      <c r="C1237" s="89">
        <v>1.0</v>
      </c>
      <c r="D1237" s="87" t="s">
        <v>204</v>
      </c>
      <c r="E1237" s="89">
        <v>1.0</v>
      </c>
      <c r="F1237" s="89">
        <v>0.5631</v>
      </c>
      <c r="G1237" s="89">
        <v>0.286</v>
      </c>
      <c r="H1237" s="87" t="s">
        <v>227</v>
      </c>
      <c r="I1237" s="90">
        <f t="shared" si="1"/>
        <v>0.9688811189</v>
      </c>
      <c r="J1237" s="81">
        <f t="shared" si="2"/>
        <v>0.5079026816</v>
      </c>
    </row>
    <row r="1238">
      <c r="A1238" s="88">
        <v>44706.0</v>
      </c>
      <c r="B1238" s="89">
        <v>2010.0</v>
      </c>
      <c r="C1238" s="89">
        <v>2.0</v>
      </c>
      <c r="D1238" s="87" t="s">
        <v>205</v>
      </c>
      <c r="E1238" s="89">
        <v>0.0</v>
      </c>
      <c r="F1238" s="89">
        <v>2.0912</v>
      </c>
      <c r="G1238" s="89">
        <v>1.0621</v>
      </c>
      <c r="H1238" s="87" t="s">
        <v>227</v>
      </c>
      <c r="I1238" s="90">
        <f t="shared" si="1"/>
        <v>0.9689294793</v>
      </c>
      <c r="J1238" s="81">
        <f t="shared" si="2"/>
        <v>0.5078902066</v>
      </c>
    </row>
    <row r="1239">
      <c r="A1239" s="88">
        <v>44706.0</v>
      </c>
      <c r="B1239" s="89">
        <v>2301.0</v>
      </c>
      <c r="C1239" s="89">
        <v>3.0</v>
      </c>
      <c r="D1239" s="87" t="s">
        <v>204</v>
      </c>
      <c r="E1239" s="89">
        <v>1.0</v>
      </c>
      <c r="F1239" s="89">
        <v>0.3271</v>
      </c>
      <c r="G1239" s="89">
        <v>0.166</v>
      </c>
      <c r="H1239" s="87" t="s">
        <v>227</v>
      </c>
      <c r="I1239" s="90">
        <f t="shared" si="1"/>
        <v>0.9704819277</v>
      </c>
      <c r="J1239" s="81">
        <f t="shared" si="2"/>
        <v>0.5074900642</v>
      </c>
    </row>
    <row r="1240">
      <c r="A1240" s="88">
        <v>44706.0</v>
      </c>
      <c r="B1240" s="89">
        <v>2301.0</v>
      </c>
      <c r="C1240" s="89">
        <v>3.0</v>
      </c>
      <c r="D1240" s="87" t="s">
        <v>204</v>
      </c>
      <c r="E1240" s="89">
        <v>1.0</v>
      </c>
      <c r="F1240" s="89">
        <v>0.3271</v>
      </c>
      <c r="G1240" s="89">
        <v>0.166</v>
      </c>
      <c r="H1240" s="87" t="s">
        <v>227</v>
      </c>
      <c r="I1240" s="90">
        <f t="shared" si="1"/>
        <v>0.9704819277</v>
      </c>
      <c r="J1240" s="81">
        <f t="shared" si="2"/>
        <v>0.5074900642</v>
      </c>
    </row>
    <row r="1241">
      <c r="A1241" s="88">
        <v>44706.0</v>
      </c>
      <c r="B1241" s="89">
        <v>2346.0</v>
      </c>
      <c r="C1241" s="89">
        <v>1.0</v>
      </c>
      <c r="D1241" s="87" t="s">
        <v>204</v>
      </c>
      <c r="E1241" s="89">
        <v>1.0</v>
      </c>
      <c r="F1241" s="89">
        <v>0.4574</v>
      </c>
      <c r="G1241" s="89">
        <v>0.232</v>
      </c>
      <c r="H1241" s="87" t="s">
        <v>227</v>
      </c>
      <c r="I1241" s="90">
        <f t="shared" si="1"/>
        <v>0.9715517241</v>
      </c>
      <c r="J1241" s="81">
        <f t="shared" si="2"/>
        <v>0.5072146917</v>
      </c>
    </row>
    <row r="1242">
      <c r="A1242" s="88">
        <v>44706.0</v>
      </c>
      <c r="B1242" s="89">
        <v>2009.0</v>
      </c>
      <c r="C1242" s="89">
        <v>1.0</v>
      </c>
      <c r="D1242" s="87" t="s">
        <v>205</v>
      </c>
      <c r="E1242" s="89">
        <v>0.0</v>
      </c>
      <c r="F1242" s="89">
        <v>1.8566</v>
      </c>
      <c r="G1242" s="89">
        <v>0.9365</v>
      </c>
      <c r="H1242" s="87" t="s">
        <v>227</v>
      </c>
      <c r="I1242" s="90">
        <f t="shared" si="1"/>
        <v>0.9824879872</v>
      </c>
      <c r="J1242" s="81">
        <f t="shared" si="2"/>
        <v>0.5044166756</v>
      </c>
    </row>
    <row r="1243">
      <c r="A1243" s="88">
        <v>44706.0</v>
      </c>
      <c r="B1243" s="89">
        <v>2375.0</v>
      </c>
      <c r="C1243" s="89">
        <v>3.0</v>
      </c>
      <c r="D1243" s="87" t="s">
        <v>204</v>
      </c>
      <c r="E1243" s="89">
        <v>1.0</v>
      </c>
      <c r="F1243" s="89">
        <v>0.4544</v>
      </c>
      <c r="G1243" s="89">
        <v>0.229</v>
      </c>
      <c r="H1243" s="87" t="s">
        <v>227</v>
      </c>
      <c r="I1243" s="90">
        <f t="shared" si="1"/>
        <v>0.984279476</v>
      </c>
      <c r="J1243" s="81">
        <f t="shared" si="2"/>
        <v>0.5039612676</v>
      </c>
    </row>
    <row r="1244">
      <c r="A1244" s="88">
        <v>44706.0</v>
      </c>
      <c r="B1244" s="89">
        <v>2020.0</v>
      </c>
      <c r="C1244" s="89">
        <v>1.0</v>
      </c>
      <c r="D1244" s="87" t="s">
        <v>204</v>
      </c>
      <c r="E1244" s="89">
        <v>1.0</v>
      </c>
      <c r="F1244" s="89">
        <v>0.1647</v>
      </c>
      <c r="G1244" s="89">
        <v>0.083</v>
      </c>
      <c r="H1244" s="87" t="s">
        <v>227</v>
      </c>
      <c r="I1244" s="90">
        <f t="shared" si="1"/>
        <v>0.9843373494</v>
      </c>
      <c r="J1244" s="81">
        <f t="shared" si="2"/>
        <v>0.5039465695</v>
      </c>
    </row>
    <row r="1245">
      <c r="A1245" s="88">
        <v>44706.0</v>
      </c>
      <c r="B1245" s="89">
        <v>2346.0</v>
      </c>
      <c r="C1245" s="89">
        <v>2.0</v>
      </c>
      <c r="D1245" s="87" t="s">
        <v>205</v>
      </c>
      <c r="E1245" s="89">
        <v>0.0</v>
      </c>
      <c r="F1245" s="89">
        <v>1.042</v>
      </c>
      <c r="G1245" s="89">
        <v>0.525</v>
      </c>
      <c r="H1245" s="87" t="s">
        <v>227</v>
      </c>
      <c r="I1245" s="90">
        <f t="shared" si="1"/>
        <v>0.9847619048</v>
      </c>
      <c r="J1245" s="81">
        <f t="shared" si="2"/>
        <v>0.5038387716</v>
      </c>
    </row>
    <row r="1246">
      <c r="A1246" s="88">
        <v>44706.0</v>
      </c>
      <c r="B1246" s="89">
        <v>2378.0</v>
      </c>
      <c r="C1246" s="89">
        <v>2.0</v>
      </c>
      <c r="D1246" s="87" t="s">
        <v>204</v>
      </c>
      <c r="E1246" s="89">
        <v>1.0</v>
      </c>
      <c r="F1246" s="89">
        <v>0.0775</v>
      </c>
      <c r="G1246" s="89">
        <v>0.039</v>
      </c>
      <c r="H1246" s="87" t="s">
        <v>227</v>
      </c>
      <c r="I1246" s="90">
        <f t="shared" si="1"/>
        <v>0.9871794872</v>
      </c>
      <c r="J1246" s="81">
        <f t="shared" si="2"/>
        <v>0.5032258065</v>
      </c>
    </row>
    <row r="1247">
      <c r="A1247" s="88">
        <v>44706.0</v>
      </c>
      <c r="B1247" s="89">
        <v>2020.0</v>
      </c>
      <c r="C1247" s="89">
        <v>2.0</v>
      </c>
      <c r="D1247" s="87" t="s">
        <v>205</v>
      </c>
      <c r="E1247" s="89">
        <v>0.0</v>
      </c>
      <c r="F1247" s="89">
        <v>1.4272</v>
      </c>
      <c r="G1247" s="89">
        <v>0.718</v>
      </c>
      <c r="H1247" s="87" t="s">
        <v>227</v>
      </c>
      <c r="I1247" s="90">
        <f t="shared" si="1"/>
        <v>0.9877437326</v>
      </c>
      <c r="J1247" s="81">
        <f t="shared" si="2"/>
        <v>0.5030829596</v>
      </c>
    </row>
    <row r="1248">
      <c r="A1248" s="88">
        <v>44706.0</v>
      </c>
      <c r="B1248" s="89">
        <v>2378.0</v>
      </c>
      <c r="C1248" s="89">
        <v>1.0</v>
      </c>
      <c r="D1248" s="87" t="s">
        <v>205</v>
      </c>
      <c r="E1248" s="89">
        <v>0.0</v>
      </c>
      <c r="F1248" s="89">
        <v>1.117</v>
      </c>
      <c r="G1248" s="89">
        <v>0.561</v>
      </c>
      <c r="H1248" s="87" t="s">
        <v>227</v>
      </c>
      <c r="I1248" s="90">
        <f t="shared" si="1"/>
        <v>0.991087344</v>
      </c>
      <c r="J1248" s="81">
        <f t="shared" si="2"/>
        <v>0.5022381379</v>
      </c>
    </row>
    <row r="1249">
      <c r="A1249" s="88">
        <v>44706.0</v>
      </c>
      <c r="B1249" s="89">
        <v>2020.0</v>
      </c>
      <c r="C1249" s="89">
        <v>3.0</v>
      </c>
      <c r="D1249" s="87" t="s">
        <v>205</v>
      </c>
      <c r="E1249" s="89">
        <v>0.0</v>
      </c>
      <c r="F1249" s="89">
        <v>0.6512</v>
      </c>
      <c r="G1249" s="89">
        <v>0.327</v>
      </c>
      <c r="H1249" s="87" t="s">
        <v>227</v>
      </c>
      <c r="I1249" s="90">
        <f t="shared" si="1"/>
        <v>0.9914373089</v>
      </c>
      <c r="J1249" s="81">
        <f t="shared" si="2"/>
        <v>0.5021498771</v>
      </c>
    </row>
    <row r="1250">
      <c r="A1250" s="88">
        <v>44706.0</v>
      </c>
      <c r="B1250" s="89">
        <v>2382.0</v>
      </c>
      <c r="C1250" s="89">
        <v>1.0</v>
      </c>
      <c r="D1250" s="87" t="s">
        <v>204</v>
      </c>
      <c r="E1250" s="89">
        <v>1.0</v>
      </c>
      <c r="F1250" s="89">
        <v>0.123</v>
      </c>
      <c r="G1250" s="89">
        <v>0.0617</v>
      </c>
      <c r="H1250" s="87" t="s">
        <v>227</v>
      </c>
      <c r="I1250" s="90">
        <f t="shared" si="1"/>
        <v>0.9935170178</v>
      </c>
      <c r="J1250" s="81">
        <f t="shared" si="2"/>
        <v>0.5016260163</v>
      </c>
    </row>
    <row r="1251">
      <c r="A1251" s="88">
        <v>44706.0</v>
      </c>
      <c r="B1251" s="89">
        <v>2382.0</v>
      </c>
      <c r="C1251" s="89">
        <v>2.0</v>
      </c>
      <c r="D1251" s="87" t="s">
        <v>204</v>
      </c>
      <c r="E1251" s="89">
        <v>0.0</v>
      </c>
      <c r="F1251" s="89">
        <v>0.0965</v>
      </c>
      <c r="G1251" s="89">
        <v>0.0484</v>
      </c>
      <c r="H1251" s="87" t="s">
        <v>227</v>
      </c>
      <c r="I1251" s="90">
        <f t="shared" si="1"/>
        <v>0.9938016529</v>
      </c>
      <c r="J1251" s="81">
        <f t="shared" si="2"/>
        <v>0.5015544041</v>
      </c>
    </row>
    <row r="1252">
      <c r="A1252" s="88">
        <v>44706.0</v>
      </c>
      <c r="B1252" s="89">
        <v>2381.0</v>
      </c>
      <c r="C1252" s="89">
        <v>2.0</v>
      </c>
      <c r="D1252" s="87" t="s">
        <v>205</v>
      </c>
      <c r="E1252" s="89">
        <v>0.0</v>
      </c>
      <c r="F1252" s="89">
        <v>1.722</v>
      </c>
      <c r="G1252" s="89">
        <v>0.861</v>
      </c>
      <c r="H1252" s="87" t="s">
        <v>227</v>
      </c>
      <c r="I1252" s="90">
        <f t="shared" si="1"/>
        <v>1</v>
      </c>
      <c r="J1252" s="81">
        <f t="shared" si="2"/>
        <v>0.5</v>
      </c>
    </row>
    <row r="1253">
      <c r="A1253" s="88">
        <v>44706.0</v>
      </c>
      <c r="B1253" s="89">
        <v>2020.0</v>
      </c>
      <c r="C1253" s="89">
        <v>3.0</v>
      </c>
      <c r="D1253" s="87" t="s">
        <v>204</v>
      </c>
      <c r="E1253" s="89">
        <v>1.0</v>
      </c>
      <c r="F1253" s="89">
        <v>0.1504</v>
      </c>
      <c r="G1253" s="89">
        <v>0.075</v>
      </c>
      <c r="H1253" s="87" t="s">
        <v>227</v>
      </c>
      <c r="I1253" s="90">
        <f t="shared" si="1"/>
        <v>1.005333333</v>
      </c>
      <c r="J1253" s="81">
        <f t="shared" si="2"/>
        <v>0.4986702128</v>
      </c>
    </row>
    <row r="1254">
      <c r="A1254" s="88">
        <v>44706.0</v>
      </c>
      <c r="B1254" s="89">
        <v>2011.0</v>
      </c>
      <c r="C1254" s="89">
        <v>2.0</v>
      </c>
      <c r="D1254" s="87" t="s">
        <v>204</v>
      </c>
      <c r="E1254" s="89">
        <v>1.0</v>
      </c>
      <c r="F1254" s="89">
        <v>0.265</v>
      </c>
      <c r="G1254" s="89">
        <v>0.132</v>
      </c>
      <c r="H1254" s="87" t="s">
        <v>227</v>
      </c>
      <c r="I1254" s="90">
        <f t="shared" si="1"/>
        <v>1.007575758</v>
      </c>
      <c r="J1254" s="81">
        <f t="shared" si="2"/>
        <v>0.4981132075</v>
      </c>
    </row>
    <row r="1255">
      <c r="A1255" s="88">
        <v>44706.0</v>
      </c>
      <c r="B1255" s="89">
        <v>2346.0</v>
      </c>
      <c r="C1255" s="89">
        <v>2.0</v>
      </c>
      <c r="D1255" s="87" t="s">
        <v>204</v>
      </c>
      <c r="E1255" s="89">
        <v>1.0</v>
      </c>
      <c r="F1255" s="89">
        <v>0.4579</v>
      </c>
      <c r="G1255" s="89">
        <v>0.228</v>
      </c>
      <c r="H1255" s="87" t="s">
        <v>227</v>
      </c>
      <c r="I1255" s="90">
        <f t="shared" si="1"/>
        <v>1.008333333</v>
      </c>
      <c r="J1255" s="81">
        <f t="shared" si="2"/>
        <v>0.4979253112</v>
      </c>
    </row>
    <row r="1256">
      <c r="A1256" s="88">
        <v>44706.0</v>
      </c>
      <c r="B1256" s="89">
        <v>2347.0</v>
      </c>
      <c r="C1256" s="89">
        <v>3.0</v>
      </c>
      <c r="D1256" s="87" t="s">
        <v>205</v>
      </c>
      <c r="E1256" s="89">
        <v>0.0</v>
      </c>
      <c r="F1256" s="89">
        <v>0.7816</v>
      </c>
      <c r="G1256" s="89">
        <v>0.389</v>
      </c>
      <c r="H1256" s="87" t="s">
        <v>227</v>
      </c>
      <c r="I1256" s="90">
        <f t="shared" si="1"/>
        <v>1.009254499</v>
      </c>
      <c r="J1256" s="81">
        <f t="shared" si="2"/>
        <v>0.4976970317</v>
      </c>
    </row>
    <row r="1257">
      <c r="A1257" s="88">
        <v>44706.0</v>
      </c>
      <c r="B1257" s="89">
        <v>2024.0</v>
      </c>
      <c r="C1257" s="89">
        <v>1.0</v>
      </c>
      <c r="D1257" s="87" t="s">
        <v>205</v>
      </c>
      <c r="E1257" s="89">
        <v>0.0</v>
      </c>
      <c r="F1257" s="89">
        <v>0.9308</v>
      </c>
      <c r="G1257" s="89">
        <v>0.463</v>
      </c>
      <c r="H1257" s="87" t="s">
        <v>227</v>
      </c>
      <c r="I1257" s="90">
        <f t="shared" si="1"/>
        <v>1.010367171</v>
      </c>
      <c r="J1257" s="81">
        <f t="shared" si="2"/>
        <v>0.4974215728</v>
      </c>
    </row>
    <row r="1258">
      <c r="A1258" s="88">
        <v>44706.0</v>
      </c>
      <c r="B1258" s="89">
        <v>2381.0</v>
      </c>
      <c r="C1258" s="89">
        <v>3.0</v>
      </c>
      <c r="D1258" s="87" t="s">
        <v>204</v>
      </c>
      <c r="E1258" s="89">
        <v>0.0</v>
      </c>
      <c r="F1258" s="89">
        <v>0.0885</v>
      </c>
      <c r="G1258" s="89">
        <v>0.044</v>
      </c>
      <c r="H1258" s="87" t="s">
        <v>227</v>
      </c>
      <c r="I1258" s="90">
        <f t="shared" si="1"/>
        <v>1.011363636</v>
      </c>
      <c r="J1258" s="81">
        <f t="shared" si="2"/>
        <v>0.4971751412</v>
      </c>
    </row>
    <row r="1259">
      <c r="A1259" s="88">
        <v>44706.0</v>
      </c>
      <c r="B1259" s="89">
        <v>2369.0</v>
      </c>
      <c r="C1259" s="89">
        <v>1.0</v>
      </c>
      <c r="D1259" s="87" t="s">
        <v>204</v>
      </c>
      <c r="E1259" s="89">
        <v>0.0</v>
      </c>
      <c r="F1259" s="89">
        <v>0.1408</v>
      </c>
      <c r="G1259" s="89">
        <v>0.07</v>
      </c>
      <c r="H1259" s="87" t="s">
        <v>227</v>
      </c>
      <c r="I1259" s="90">
        <f t="shared" si="1"/>
        <v>1.011428571</v>
      </c>
      <c r="J1259" s="81">
        <f t="shared" si="2"/>
        <v>0.4971590909</v>
      </c>
    </row>
    <row r="1260">
      <c r="A1260" s="88">
        <v>44706.0</v>
      </c>
      <c r="B1260" s="89">
        <v>2382.0</v>
      </c>
      <c r="C1260" s="89">
        <v>2.0</v>
      </c>
      <c r="D1260" s="87" t="s">
        <v>204</v>
      </c>
      <c r="E1260" s="89">
        <v>1.0</v>
      </c>
      <c r="F1260" s="89">
        <v>0.1819</v>
      </c>
      <c r="G1260" s="89">
        <v>0.0904</v>
      </c>
      <c r="H1260" s="87" t="s">
        <v>227</v>
      </c>
      <c r="I1260" s="90">
        <f t="shared" si="1"/>
        <v>1.012168142</v>
      </c>
      <c r="J1260" s="81">
        <f t="shared" si="2"/>
        <v>0.4969763606</v>
      </c>
    </row>
    <row r="1261">
      <c r="A1261" s="88">
        <v>44706.0</v>
      </c>
      <c r="B1261" s="89">
        <v>2378.0</v>
      </c>
      <c r="C1261" s="89">
        <v>3.0</v>
      </c>
      <c r="D1261" s="87" t="s">
        <v>205</v>
      </c>
      <c r="E1261" s="89">
        <v>0.0</v>
      </c>
      <c r="F1261" s="89">
        <v>1.2142</v>
      </c>
      <c r="G1261" s="89">
        <v>0.603</v>
      </c>
      <c r="H1261" s="87" t="s">
        <v>227</v>
      </c>
      <c r="I1261" s="90">
        <f t="shared" si="1"/>
        <v>1.013598673</v>
      </c>
      <c r="J1261" s="81">
        <f t="shared" si="2"/>
        <v>0.4966232911</v>
      </c>
    </row>
    <row r="1262">
      <c r="A1262" s="88">
        <v>44706.0</v>
      </c>
      <c r="B1262" s="89">
        <v>2379.0</v>
      </c>
      <c r="C1262" s="89">
        <v>3.0</v>
      </c>
      <c r="D1262" s="87" t="s">
        <v>205</v>
      </c>
      <c r="E1262" s="89">
        <v>0.0</v>
      </c>
      <c r="F1262" s="89">
        <v>1.3013</v>
      </c>
      <c r="G1262" s="89">
        <v>0.646</v>
      </c>
      <c r="H1262" s="87" t="s">
        <v>227</v>
      </c>
      <c r="I1262" s="90">
        <f t="shared" si="1"/>
        <v>1.014396285</v>
      </c>
      <c r="J1262" s="81">
        <f t="shared" si="2"/>
        <v>0.4964266503</v>
      </c>
    </row>
    <row r="1263">
      <c r="A1263" s="88">
        <v>44706.0</v>
      </c>
      <c r="B1263" s="89">
        <v>2379.0</v>
      </c>
      <c r="C1263" s="89">
        <v>1.0</v>
      </c>
      <c r="D1263" s="87" t="s">
        <v>204</v>
      </c>
      <c r="E1263" s="89">
        <v>1.0</v>
      </c>
      <c r="F1263" s="89">
        <v>0.1774</v>
      </c>
      <c r="G1263" s="89">
        <v>0.088</v>
      </c>
      <c r="H1263" s="87" t="s">
        <v>227</v>
      </c>
      <c r="I1263" s="90">
        <f t="shared" si="1"/>
        <v>1.015909091</v>
      </c>
      <c r="J1263" s="81">
        <f t="shared" si="2"/>
        <v>0.496054115</v>
      </c>
    </row>
    <row r="1264">
      <c r="A1264" s="88">
        <v>44706.0</v>
      </c>
      <c r="B1264" s="89">
        <v>2009.0</v>
      </c>
      <c r="C1264" s="89">
        <v>3.0</v>
      </c>
      <c r="D1264" s="87" t="s">
        <v>204</v>
      </c>
      <c r="E1264" s="89">
        <v>1.0</v>
      </c>
      <c r="F1264" s="89">
        <v>0.2641</v>
      </c>
      <c r="G1264" s="89">
        <v>0.131</v>
      </c>
      <c r="H1264" s="87" t="s">
        <v>227</v>
      </c>
      <c r="I1264" s="90">
        <f t="shared" si="1"/>
        <v>1.016030534</v>
      </c>
      <c r="J1264" s="81">
        <f t="shared" si="2"/>
        <v>0.4960242332</v>
      </c>
    </row>
    <row r="1265">
      <c r="A1265" s="88">
        <v>44706.0</v>
      </c>
      <c r="B1265" s="89">
        <v>2381.0</v>
      </c>
      <c r="C1265" s="89">
        <v>2.0</v>
      </c>
      <c r="D1265" s="87" t="s">
        <v>204</v>
      </c>
      <c r="E1265" s="89">
        <v>1.0</v>
      </c>
      <c r="F1265" s="89">
        <v>0.5225</v>
      </c>
      <c r="G1265" s="89">
        <v>0.259</v>
      </c>
      <c r="H1265" s="87" t="s">
        <v>227</v>
      </c>
      <c r="I1265" s="90">
        <f t="shared" si="1"/>
        <v>1.017374517</v>
      </c>
      <c r="J1265" s="81">
        <f t="shared" si="2"/>
        <v>0.4956937799</v>
      </c>
    </row>
    <row r="1266">
      <c r="A1266" s="88">
        <v>44706.0</v>
      </c>
      <c r="B1266" s="89">
        <v>2370.0</v>
      </c>
      <c r="C1266" s="89">
        <v>1.0</v>
      </c>
      <c r="D1266" s="87" t="s">
        <v>205</v>
      </c>
      <c r="E1266" s="89">
        <v>0.0</v>
      </c>
      <c r="F1266" s="89">
        <v>1.1019</v>
      </c>
      <c r="G1266" s="89">
        <v>0.546</v>
      </c>
      <c r="H1266" s="87" t="s">
        <v>227</v>
      </c>
      <c r="I1266" s="90">
        <f t="shared" si="1"/>
        <v>1.018131868</v>
      </c>
      <c r="J1266" s="81">
        <f t="shared" si="2"/>
        <v>0.4955077593</v>
      </c>
    </row>
    <row r="1267">
      <c r="A1267" s="88">
        <v>44706.0</v>
      </c>
      <c r="B1267" s="89">
        <v>2347.0</v>
      </c>
      <c r="C1267" s="89">
        <v>1.0</v>
      </c>
      <c r="D1267" s="87" t="s">
        <v>205</v>
      </c>
      <c r="E1267" s="89">
        <v>0.0</v>
      </c>
      <c r="F1267" s="89">
        <v>1.1557</v>
      </c>
      <c r="G1267" s="89">
        <v>0.572</v>
      </c>
      <c r="H1267" s="87" t="s">
        <v>227</v>
      </c>
      <c r="I1267" s="90">
        <f t="shared" si="1"/>
        <v>1.020454545</v>
      </c>
      <c r="J1267" s="81">
        <f t="shared" si="2"/>
        <v>0.4949381327</v>
      </c>
    </row>
    <row r="1268">
      <c r="A1268" s="88">
        <v>44706.0</v>
      </c>
      <c r="B1268" s="89">
        <v>2375.0</v>
      </c>
      <c r="C1268" s="89">
        <v>1.0</v>
      </c>
      <c r="D1268" s="87" t="s">
        <v>205</v>
      </c>
      <c r="E1268" s="89">
        <v>0.0</v>
      </c>
      <c r="F1268" s="89">
        <v>1.029</v>
      </c>
      <c r="G1268" s="89">
        <v>0.509</v>
      </c>
      <c r="H1268" s="87" t="s">
        <v>227</v>
      </c>
      <c r="I1268" s="90">
        <f t="shared" si="1"/>
        <v>1.021611002</v>
      </c>
      <c r="J1268" s="81">
        <f t="shared" si="2"/>
        <v>0.4946550049</v>
      </c>
    </row>
    <row r="1269">
      <c r="A1269" s="88">
        <v>44706.0</v>
      </c>
      <c r="B1269" s="89">
        <v>2379.0</v>
      </c>
      <c r="C1269" s="89">
        <v>3.0</v>
      </c>
      <c r="D1269" s="87" t="s">
        <v>204</v>
      </c>
      <c r="E1269" s="89">
        <v>1.0</v>
      </c>
      <c r="F1269" s="89">
        <v>0.4479</v>
      </c>
      <c r="G1269" s="89">
        <v>0.2213</v>
      </c>
      <c r="H1269" s="87" t="s">
        <v>227</v>
      </c>
      <c r="I1269" s="90">
        <f t="shared" si="1"/>
        <v>1.02394939</v>
      </c>
      <c r="J1269" s="81">
        <f t="shared" si="2"/>
        <v>0.4940835008</v>
      </c>
    </row>
    <row r="1270">
      <c r="A1270" s="88">
        <v>44706.0</v>
      </c>
      <c r="B1270" s="89">
        <v>2024.0</v>
      </c>
      <c r="C1270" s="89">
        <v>2.0</v>
      </c>
      <c r="D1270" s="87" t="s">
        <v>205</v>
      </c>
      <c r="E1270" s="89">
        <v>0.0</v>
      </c>
      <c r="F1270" s="89">
        <v>1.2768</v>
      </c>
      <c r="G1270" s="89">
        <v>0.63</v>
      </c>
      <c r="H1270" s="87" t="s">
        <v>227</v>
      </c>
      <c r="I1270" s="90">
        <f t="shared" si="1"/>
        <v>1.026666667</v>
      </c>
      <c r="J1270" s="81">
        <f t="shared" si="2"/>
        <v>0.4934210526</v>
      </c>
    </row>
    <row r="1271">
      <c r="A1271" s="88">
        <v>44706.0</v>
      </c>
      <c r="B1271" s="89">
        <v>2347.0</v>
      </c>
      <c r="C1271" s="89">
        <v>2.0</v>
      </c>
      <c r="D1271" s="87" t="s">
        <v>205</v>
      </c>
      <c r="E1271" s="89">
        <v>0.0</v>
      </c>
      <c r="F1271" s="89">
        <v>1.7795</v>
      </c>
      <c r="G1271" s="89">
        <v>0.878</v>
      </c>
      <c r="H1271" s="87" t="s">
        <v>227</v>
      </c>
      <c r="I1271" s="90">
        <f t="shared" si="1"/>
        <v>1.026765376</v>
      </c>
      <c r="J1271" s="81">
        <f t="shared" si="2"/>
        <v>0.4933970216</v>
      </c>
    </row>
    <row r="1272">
      <c r="A1272" s="88">
        <v>44706.0</v>
      </c>
      <c r="B1272" s="89">
        <v>2020.0</v>
      </c>
      <c r="C1272" s="89">
        <v>1.0</v>
      </c>
      <c r="D1272" s="87" t="s">
        <v>205</v>
      </c>
      <c r="E1272" s="89">
        <v>0.0</v>
      </c>
      <c r="F1272" s="89">
        <v>1.4926</v>
      </c>
      <c r="G1272" s="89">
        <v>0.736</v>
      </c>
      <c r="H1272" s="87" t="s">
        <v>227</v>
      </c>
      <c r="I1272" s="90">
        <f t="shared" si="1"/>
        <v>1.02798913</v>
      </c>
      <c r="J1272" s="81">
        <f t="shared" si="2"/>
        <v>0.4930992898</v>
      </c>
    </row>
    <row r="1273">
      <c r="A1273" s="88">
        <v>44706.0</v>
      </c>
      <c r="B1273" s="89">
        <v>2378.0</v>
      </c>
      <c r="C1273" s="89">
        <v>1.0</v>
      </c>
      <c r="D1273" s="87" t="s">
        <v>204</v>
      </c>
      <c r="E1273" s="89">
        <v>0.0</v>
      </c>
      <c r="F1273" s="89">
        <v>0.1663</v>
      </c>
      <c r="G1273" s="89">
        <v>0.082</v>
      </c>
      <c r="H1273" s="87" t="s">
        <v>227</v>
      </c>
      <c r="I1273" s="90">
        <f t="shared" si="1"/>
        <v>1.02804878</v>
      </c>
      <c r="J1273" s="81">
        <f t="shared" si="2"/>
        <v>0.4930847865</v>
      </c>
    </row>
    <row r="1274">
      <c r="A1274" s="88">
        <v>44706.0</v>
      </c>
      <c r="B1274" s="89">
        <v>2025.0</v>
      </c>
      <c r="C1274" s="89">
        <v>3.0</v>
      </c>
      <c r="D1274" s="87" t="s">
        <v>204</v>
      </c>
      <c r="E1274" s="89">
        <v>0.0</v>
      </c>
      <c r="F1274" s="89">
        <v>0.2456</v>
      </c>
      <c r="G1274" s="89">
        <v>0.121</v>
      </c>
      <c r="H1274" s="87" t="s">
        <v>227</v>
      </c>
      <c r="I1274" s="90">
        <f t="shared" si="1"/>
        <v>1.029752066</v>
      </c>
      <c r="J1274" s="81">
        <f t="shared" si="2"/>
        <v>0.4926710098</v>
      </c>
    </row>
    <row r="1275">
      <c r="A1275" s="88">
        <v>44706.0</v>
      </c>
      <c r="B1275" s="89">
        <v>2381.0</v>
      </c>
      <c r="C1275" s="89">
        <v>3.0</v>
      </c>
      <c r="D1275" s="87" t="s">
        <v>204</v>
      </c>
      <c r="E1275" s="89">
        <v>1.0</v>
      </c>
      <c r="F1275" s="89">
        <v>0.2843</v>
      </c>
      <c r="G1275" s="89">
        <v>0.14</v>
      </c>
      <c r="H1275" s="87" t="s">
        <v>227</v>
      </c>
      <c r="I1275" s="90">
        <f t="shared" si="1"/>
        <v>1.030714286</v>
      </c>
      <c r="J1275" s="81">
        <f t="shared" si="2"/>
        <v>0.492437566</v>
      </c>
    </row>
    <row r="1276">
      <c r="A1276" s="88">
        <v>44706.0</v>
      </c>
      <c r="B1276" s="89">
        <v>2369.0</v>
      </c>
      <c r="C1276" s="89">
        <v>2.0</v>
      </c>
      <c r="D1276" s="87" t="s">
        <v>204</v>
      </c>
      <c r="E1276" s="89">
        <v>0.0</v>
      </c>
      <c r="F1276" s="89">
        <v>0.1889</v>
      </c>
      <c r="G1276" s="89">
        <v>0.093</v>
      </c>
      <c r="H1276" s="87" t="s">
        <v>227</v>
      </c>
      <c r="I1276" s="90">
        <f t="shared" si="1"/>
        <v>1.031182796</v>
      </c>
      <c r="J1276" s="81">
        <f t="shared" si="2"/>
        <v>0.4923239809</v>
      </c>
    </row>
    <row r="1277">
      <c r="A1277" s="88">
        <v>44706.0</v>
      </c>
      <c r="B1277" s="89">
        <v>2369.0</v>
      </c>
      <c r="C1277" s="89">
        <v>3.0</v>
      </c>
      <c r="D1277" s="87" t="s">
        <v>204</v>
      </c>
      <c r="E1277" s="89">
        <v>0.0</v>
      </c>
      <c r="F1277" s="89">
        <v>0.1158</v>
      </c>
      <c r="G1277" s="89">
        <v>0.057</v>
      </c>
      <c r="H1277" s="87" t="s">
        <v>227</v>
      </c>
      <c r="I1277" s="90">
        <f t="shared" si="1"/>
        <v>1.031578947</v>
      </c>
      <c r="J1277" s="81">
        <f t="shared" si="2"/>
        <v>0.4922279793</v>
      </c>
    </row>
    <row r="1278">
      <c r="A1278" s="88">
        <v>44706.0</v>
      </c>
      <c r="B1278" s="89">
        <v>2020.0</v>
      </c>
      <c r="C1278" s="89">
        <v>2.0</v>
      </c>
      <c r="D1278" s="87" t="s">
        <v>204</v>
      </c>
      <c r="E1278" s="89">
        <v>1.0</v>
      </c>
      <c r="F1278" s="89">
        <v>0.3109</v>
      </c>
      <c r="G1278" s="89">
        <v>0.153</v>
      </c>
      <c r="H1278" s="87" t="s">
        <v>227</v>
      </c>
      <c r="I1278" s="90">
        <f t="shared" si="1"/>
        <v>1.032026144</v>
      </c>
      <c r="J1278" s="81">
        <f t="shared" si="2"/>
        <v>0.4921196526</v>
      </c>
    </row>
    <row r="1279">
      <c r="A1279" s="88">
        <v>44706.0</v>
      </c>
      <c r="B1279" s="89">
        <v>2375.0</v>
      </c>
      <c r="C1279" s="89">
        <v>2.0</v>
      </c>
      <c r="D1279" s="87" t="s">
        <v>205</v>
      </c>
      <c r="E1279" s="89">
        <v>0.0</v>
      </c>
      <c r="F1279" s="89">
        <v>0.5973</v>
      </c>
      <c r="G1279" s="89">
        <v>0.293</v>
      </c>
      <c r="H1279" s="87" t="s">
        <v>227</v>
      </c>
      <c r="I1279" s="90">
        <f t="shared" si="1"/>
        <v>1.038566553</v>
      </c>
      <c r="J1279" s="81">
        <f t="shared" si="2"/>
        <v>0.4905407668</v>
      </c>
    </row>
    <row r="1280">
      <c r="A1280" s="88">
        <v>44706.0</v>
      </c>
      <c r="B1280" s="89">
        <v>2379.0</v>
      </c>
      <c r="C1280" s="89">
        <v>1.0</v>
      </c>
      <c r="D1280" s="87" t="s">
        <v>205</v>
      </c>
      <c r="E1280" s="89">
        <v>0.0</v>
      </c>
      <c r="F1280" s="89">
        <v>0.782</v>
      </c>
      <c r="G1280" s="89">
        <v>0.383</v>
      </c>
      <c r="H1280" s="87" t="s">
        <v>227</v>
      </c>
      <c r="I1280" s="90">
        <f t="shared" si="1"/>
        <v>1.041775457</v>
      </c>
      <c r="J1280" s="81">
        <f t="shared" si="2"/>
        <v>0.489769821</v>
      </c>
    </row>
    <row r="1281">
      <c r="A1281" s="88">
        <v>44706.0</v>
      </c>
      <c r="B1281" s="89">
        <v>2369.0</v>
      </c>
      <c r="C1281" s="89">
        <v>1.0</v>
      </c>
      <c r="D1281" s="87" t="s">
        <v>204</v>
      </c>
      <c r="E1281" s="89">
        <v>1.0</v>
      </c>
      <c r="F1281" s="89">
        <v>0.1593</v>
      </c>
      <c r="G1281" s="89">
        <v>0.078</v>
      </c>
      <c r="H1281" s="87" t="s">
        <v>227</v>
      </c>
      <c r="I1281" s="90">
        <f t="shared" si="1"/>
        <v>1.042307692</v>
      </c>
      <c r="J1281" s="81">
        <f t="shared" si="2"/>
        <v>0.4896421846</v>
      </c>
    </row>
    <row r="1282">
      <c r="A1282" s="88">
        <v>44706.0</v>
      </c>
      <c r="B1282" s="89">
        <v>2378.0</v>
      </c>
      <c r="C1282" s="89">
        <v>3.0</v>
      </c>
      <c r="D1282" s="87" t="s">
        <v>204</v>
      </c>
      <c r="E1282" s="89">
        <v>1.0</v>
      </c>
      <c r="F1282" s="89">
        <v>0.09809</v>
      </c>
      <c r="G1282" s="89">
        <v>0.048</v>
      </c>
      <c r="H1282" s="87" t="s">
        <v>227</v>
      </c>
      <c r="I1282" s="90">
        <f t="shared" si="1"/>
        <v>1.043541667</v>
      </c>
      <c r="J1282" s="81">
        <f t="shared" si="2"/>
        <v>0.4893465185</v>
      </c>
    </row>
    <row r="1283">
      <c r="A1283" s="88">
        <v>44706.0</v>
      </c>
      <c r="B1283" s="89">
        <v>2025.0</v>
      </c>
      <c r="C1283" s="89">
        <v>1.0</v>
      </c>
      <c r="D1283" s="87" t="s">
        <v>204</v>
      </c>
      <c r="E1283" s="89">
        <v>0.0</v>
      </c>
      <c r="F1283" s="89">
        <v>0.4129</v>
      </c>
      <c r="G1283" s="89">
        <v>0.202</v>
      </c>
      <c r="H1283" s="87" t="s">
        <v>227</v>
      </c>
      <c r="I1283" s="90">
        <f t="shared" si="1"/>
        <v>1.044059406</v>
      </c>
      <c r="J1283" s="81">
        <f t="shared" si="2"/>
        <v>0.4892225721</v>
      </c>
    </row>
    <row r="1284">
      <c r="A1284" s="88">
        <v>44706.0</v>
      </c>
      <c r="B1284" s="89">
        <v>2374.0</v>
      </c>
      <c r="C1284" s="89">
        <v>1.0</v>
      </c>
      <c r="D1284" s="87" t="s">
        <v>204</v>
      </c>
      <c r="E1284" s="89">
        <v>0.0</v>
      </c>
      <c r="F1284" s="89">
        <v>0.1912</v>
      </c>
      <c r="G1284" s="89">
        <v>0.0934</v>
      </c>
      <c r="H1284" s="87" t="s">
        <v>227</v>
      </c>
      <c r="I1284" s="90">
        <f t="shared" si="1"/>
        <v>1.047109208</v>
      </c>
      <c r="J1284" s="81">
        <f t="shared" si="2"/>
        <v>0.4884937238</v>
      </c>
    </row>
    <row r="1285">
      <c r="A1285" s="88">
        <v>44706.0</v>
      </c>
      <c r="B1285" s="89">
        <v>2382.0</v>
      </c>
      <c r="C1285" s="89">
        <v>1.0</v>
      </c>
      <c r="D1285" s="87" t="s">
        <v>205</v>
      </c>
      <c r="E1285" s="89">
        <v>0.0</v>
      </c>
      <c r="F1285" s="89">
        <v>0.6251</v>
      </c>
      <c r="G1285" s="89">
        <v>0.305</v>
      </c>
      <c r="H1285" s="87" t="s">
        <v>227</v>
      </c>
      <c r="I1285" s="90">
        <f t="shared" si="1"/>
        <v>1.049508197</v>
      </c>
      <c r="J1285" s="81">
        <f t="shared" si="2"/>
        <v>0.4879219325</v>
      </c>
    </row>
    <row r="1286">
      <c r="A1286" s="88">
        <v>44706.0</v>
      </c>
      <c r="B1286" s="89">
        <v>2379.0</v>
      </c>
      <c r="C1286" s="89">
        <v>2.0</v>
      </c>
      <c r="D1286" s="87" t="s">
        <v>205</v>
      </c>
      <c r="E1286" s="89">
        <v>0.0</v>
      </c>
      <c r="F1286" s="89">
        <v>1.4335</v>
      </c>
      <c r="G1286" s="89">
        <v>0.699</v>
      </c>
      <c r="H1286" s="87" t="s">
        <v>227</v>
      </c>
      <c r="I1286" s="90">
        <f t="shared" si="1"/>
        <v>1.050786838</v>
      </c>
      <c r="J1286" s="81">
        <f t="shared" si="2"/>
        <v>0.4876177189</v>
      </c>
    </row>
    <row r="1287">
      <c r="A1287" s="88">
        <v>44706.0</v>
      </c>
      <c r="B1287" s="89">
        <v>2024.0</v>
      </c>
      <c r="C1287" s="89">
        <v>3.0</v>
      </c>
      <c r="D1287" s="87" t="s">
        <v>204</v>
      </c>
      <c r="E1287" s="89">
        <v>1.0</v>
      </c>
      <c r="F1287" s="89">
        <v>0.1294</v>
      </c>
      <c r="G1287" s="89">
        <v>0.063</v>
      </c>
      <c r="H1287" s="87" t="s">
        <v>227</v>
      </c>
      <c r="I1287" s="90">
        <f t="shared" si="1"/>
        <v>1.053968254</v>
      </c>
      <c r="J1287" s="81">
        <f t="shared" si="2"/>
        <v>0.486862442</v>
      </c>
    </row>
    <row r="1288">
      <c r="A1288" s="88">
        <v>44706.0</v>
      </c>
      <c r="B1288" s="89">
        <v>2024.0</v>
      </c>
      <c r="C1288" s="89">
        <v>3.0</v>
      </c>
      <c r="D1288" s="87" t="s">
        <v>204</v>
      </c>
      <c r="E1288" s="89">
        <v>1.0</v>
      </c>
      <c r="F1288" s="89">
        <v>0.1294</v>
      </c>
      <c r="G1288" s="89">
        <v>0.063</v>
      </c>
      <c r="H1288" s="87" t="s">
        <v>227</v>
      </c>
      <c r="I1288" s="90">
        <f t="shared" si="1"/>
        <v>1.053968254</v>
      </c>
      <c r="J1288" s="81">
        <f t="shared" si="2"/>
        <v>0.486862442</v>
      </c>
    </row>
    <row r="1289">
      <c r="A1289" s="88">
        <v>44706.0</v>
      </c>
      <c r="B1289" s="89">
        <v>2378.0</v>
      </c>
      <c r="C1289" s="89">
        <v>3.0</v>
      </c>
      <c r="D1289" s="87" t="s">
        <v>204</v>
      </c>
      <c r="E1289" s="89">
        <v>0.0</v>
      </c>
      <c r="F1289" s="89">
        <v>0.2786</v>
      </c>
      <c r="G1289" s="89">
        <v>0.1355</v>
      </c>
      <c r="H1289" s="87" t="s">
        <v>227</v>
      </c>
      <c r="I1289" s="90">
        <f t="shared" si="1"/>
        <v>1.056088561</v>
      </c>
      <c r="J1289" s="81">
        <f t="shared" si="2"/>
        <v>0.4863603733</v>
      </c>
    </row>
    <row r="1290">
      <c r="A1290" s="88">
        <v>44706.0</v>
      </c>
      <c r="B1290" s="89">
        <v>2379.0</v>
      </c>
      <c r="C1290" s="89">
        <v>2.0</v>
      </c>
      <c r="D1290" s="87" t="s">
        <v>204</v>
      </c>
      <c r="E1290" s="89">
        <v>1.0</v>
      </c>
      <c r="F1290" s="89">
        <v>0.4031</v>
      </c>
      <c r="G1290" s="89">
        <v>0.196</v>
      </c>
      <c r="H1290" s="87" t="s">
        <v>227</v>
      </c>
      <c r="I1290" s="90">
        <f t="shared" si="1"/>
        <v>1.056632653</v>
      </c>
      <c r="J1290" s="81">
        <f t="shared" si="2"/>
        <v>0.4862317043</v>
      </c>
    </row>
    <row r="1291">
      <c r="A1291" s="88">
        <v>44706.0</v>
      </c>
      <c r="B1291" s="89">
        <v>2372.0</v>
      </c>
      <c r="C1291" s="89">
        <v>1.0</v>
      </c>
      <c r="D1291" s="87" t="s">
        <v>204</v>
      </c>
      <c r="E1291" s="89">
        <v>0.0</v>
      </c>
      <c r="F1291" s="89">
        <v>0.1351</v>
      </c>
      <c r="G1291" s="89">
        <v>0.0656</v>
      </c>
      <c r="H1291" s="87" t="s">
        <v>227</v>
      </c>
      <c r="I1291" s="90">
        <f t="shared" si="1"/>
        <v>1.05945122</v>
      </c>
      <c r="J1291" s="81">
        <f t="shared" si="2"/>
        <v>0.4855662472</v>
      </c>
    </row>
    <row r="1292">
      <c r="A1292" s="88">
        <v>44706.0</v>
      </c>
      <c r="B1292" s="89">
        <v>2382.0</v>
      </c>
      <c r="C1292" s="89">
        <v>3.0</v>
      </c>
      <c r="D1292" s="87" t="s">
        <v>204</v>
      </c>
      <c r="E1292" s="89">
        <v>1.0</v>
      </c>
      <c r="F1292" s="89">
        <v>0.075</v>
      </c>
      <c r="G1292" s="89">
        <v>0.0364</v>
      </c>
      <c r="H1292" s="87" t="s">
        <v>227</v>
      </c>
      <c r="I1292" s="90">
        <f t="shared" si="1"/>
        <v>1.06043956</v>
      </c>
      <c r="J1292" s="81">
        <f t="shared" si="2"/>
        <v>0.4853333333</v>
      </c>
    </row>
    <row r="1293">
      <c r="A1293" s="88">
        <v>44706.0</v>
      </c>
      <c r="B1293" s="89">
        <v>2024.0</v>
      </c>
      <c r="C1293" s="89">
        <v>1.0</v>
      </c>
      <c r="D1293" s="87" t="s">
        <v>204</v>
      </c>
      <c r="E1293" s="89">
        <v>0.0</v>
      </c>
      <c r="F1293" s="89">
        <v>0.1073</v>
      </c>
      <c r="G1293" s="89">
        <v>0.052</v>
      </c>
      <c r="H1293" s="87" t="s">
        <v>227</v>
      </c>
      <c r="I1293" s="90">
        <f t="shared" si="1"/>
        <v>1.063461538</v>
      </c>
      <c r="J1293" s="81">
        <f t="shared" si="2"/>
        <v>0.4846225536</v>
      </c>
    </row>
    <row r="1294">
      <c r="A1294" s="88">
        <v>44706.0</v>
      </c>
      <c r="B1294" s="89">
        <v>2369.0</v>
      </c>
      <c r="C1294" s="89">
        <v>3.0</v>
      </c>
      <c r="D1294" s="87" t="s">
        <v>204</v>
      </c>
      <c r="E1294" s="89">
        <v>1.0</v>
      </c>
      <c r="F1294" s="89">
        <v>0.0847</v>
      </c>
      <c r="G1294" s="89">
        <v>0.041</v>
      </c>
      <c r="H1294" s="87" t="s">
        <v>227</v>
      </c>
      <c r="I1294" s="90">
        <f t="shared" si="1"/>
        <v>1.065853659</v>
      </c>
      <c r="J1294" s="81">
        <f t="shared" si="2"/>
        <v>0.4840613932</v>
      </c>
    </row>
    <row r="1295">
      <c r="A1295" s="88">
        <v>44706.0</v>
      </c>
      <c r="B1295" s="89">
        <v>2025.0</v>
      </c>
      <c r="C1295" s="89">
        <v>2.0</v>
      </c>
      <c r="D1295" s="87" t="s">
        <v>204</v>
      </c>
      <c r="E1295" s="89">
        <v>0.0</v>
      </c>
      <c r="F1295" s="89">
        <v>0.2376</v>
      </c>
      <c r="G1295" s="89">
        <v>0.115</v>
      </c>
      <c r="H1295" s="87" t="s">
        <v>227</v>
      </c>
      <c r="I1295" s="90">
        <f t="shared" si="1"/>
        <v>1.066086957</v>
      </c>
      <c r="J1295" s="81">
        <f t="shared" si="2"/>
        <v>0.484006734</v>
      </c>
    </row>
    <row r="1296">
      <c r="A1296" s="88">
        <v>44706.0</v>
      </c>
      <c r="B1296" s="89">
        <v>2370.0</v>
      </c>
      <c r="C1296" s="89">
        <v>2.0</v>
      </c>
      <c r="D1296" s="87" t="s">
        <v>204</v>
      </c>
      <c r="E1296" s="89">
        <v>1.0</v>
      </c>
      <c r="F1296" s="89">
        <v>0.1656</v>
      </c>
      <c r="G1296" s="89">
        <v>0.0799</v>
      </c>
      <c r="H1296" s="87" t="s">
        <v>227</v>
      </c>
      <c r="I1296" s="90">
        <f t="shared" si="1"/>
        <v>1.072590738</v>
      </c>
      <c r="J1296" s="81">
        <f t="shared" si="2"/>
        <v>0.4824879227</v>
      </c>
    </row>
    <row r="1297">
      <c r="A1297" s="88">
        <v>44706.0</v>
      </c>
      <c r="B1297" s="89">
        <v>2375.0</v>
      </c>
      <c r="C1297" s="89">
        <v>2.0</v>
      </c>
      <c r="D1297" s="87" t="s">
        <v>204</v>
      </c>
      <c r="E1297" s="89">
        <v>1.0</v>
      </c>
      <c r="F1297" s="89">
        <v>0.3263</v>
      </c>
      <c r="G1297" s="89">
        <v>0.157</v>
      </c>
      <c r="H1297" s="87" t="s">
        <v>227</v>
      </c>
      <c r="I1297" s="90">
        <f t="shared" si="1"/>
        <v>1.078343949</v>
      </c>
      <c r="J1297" s="81">
        <f t="shared" si="2"/>
        <v>0.4811523138</v>
      </c>
    </row>
    <row r="1298">
      <c r="A1298" s="88">
        <v>44706.0</v>
      </c>
      <c r="B1298" s="89">
        <v>2381.0</v>
      </c>
      <c r="C1298" s="89">
        <v>2.0</v>
      </c>
      <c r="D1298" s="87" t="s">
        <v>204</v>
      </c>
      <c r="E1298" s="89">
        <v>0.0</v>
      </c>
      <c r="F1298" s="89">
        <v>0.1082</v>
      </c>
      <c r="G1298" s="89">
        <v>0.052</v>
      </c>
      <c r="H1298" s="87" t="s">
        <v>227</v>
      </c>
      <c r="I1298" s="90">
        <f t="shared" si="1"/>
        <v>1.080769231</v>
      </c>
      <c r="J1298" s="81">
        <f t="shared" si="2"/>
        <v>0.4805914972</v>
      </c>
    </row>
    <row r="1299">
      <c r="A1299" s="88">
        <v>44706.0</v>
      </c>
      <c r="B1299" s="89">
        <v>2024.0</v>
      </c>
      <c r="C1299" s="89">
        <v>3.0</v>
      </c>
      <c r="D1299" s="87" t="s">
        <v>205</v>
      </c>
      <c r="E1299" s="89">
        <v>0.0</v>
      </c>
      <c r="F1299" s="89">
        <v>0.711</v>
      </c>
      <c r="G1299" s="89">
        <v>0.341</v>
      </c>
      <c r="H1299" s="87" t="s">
        <v>227</v>
      </c>
      <c r="I1299" s="90">
        <f t="shared" si="1"/>
        <v>1.085043988</v>
      </c>
      <c r="J1299" s="81">
        <f t="shared" si="2"/>
        <v>0.4796061885</v>
      </c>
    </row>
    <row r="1300">
      <c r="A1300" s="88">
        <v>44706.0</v>
      </c>
      <c r="B1300" s="89">
        <v>2372.0</v>
      </c>
      <c r="C1300" s="89">
        <v>2.0</v>
      </c>
      <c r="D1300" s="87" t="s">
        <v>204</v>
      </c>
      <c r="E1300" s="89">
        <v>0.0</v>
      </c>
      <c r="F1300" s="89">
        <v>0.2865</v>
      </c>
      <c r="G1300" s="89">
        <v>0.137</v>
      </c>
      <c r="H1300" s="87" t="s">
        <v>227</v>
      </c>
      <c r="I1300" s="90">
        <f t="shared" si="1"/>
        <v>1.091240876</v>
      </c>
      <c r="J1300" s="81">
        <f t="shared" si="2"/>
        <v>0.4781849913</v>
      </c>
    </row>
    <row r="1301">
      <c r="A1301" s="88">
        <v>44706.0</v>
      </c>
      <c r="B1301" s="89">
        <v>2378.0</v>
      </c>
      <c r="C1301" s="89">
        <v>2.0</v>
      </c>
      <c r="D1301" s="87" t="s">
        <v>205</v>
      </c>
      <c r="E1301" s="89">
        <v>0.0</v>
      </c>
      <c r="F1301" s="89">
        <v>0.7054</v>
      </c>
      <c r="G1301" s="89">
        <v>0.335</v>
      </c>
      <c r="H1301" s="87" t="s">
        <v>227</v>
      </c>
      <c r="I1301" s="90">
        <f t="shared" si="1"/>
        <v>1.105671642</v>
      </c>
      <c r="J1301" s="81">
        <f t="shared" si="2"/>
        <v>0.4749078537</v>
      </c>
    </row>
    <row r="1302">
      <c r="A1302" s="88">
        <v>44706.0</v>
      </c>
      <c r="B1302" s="89">
        <v>2371.0</v>
      </c>
      <c r="C1302" s="89">
        <v>2.0</v>
      </c>
      <c r="D1302" s="87" t="s">
        <v>204</v>
      </c>
      <c r="E1302" s="89">
        <v>0.0</v>
      </c>
      <c r="F1302" s="89">
        <v>0.0422</v>
      </c>
      <c r="G1302" s="89">
        <v>0.02</v>
      </c>
      <c r="H1302" s="87" t="s">
        <v>227</v>
      </c>
      <c r="I1302" s="90">
        <f t="shared" si="1"/>
        <v>1.11</v>
      </c>
      <c r="J1302" s="81">
        <f t="shared" si="2"/>
        <v>0.4739336493</v>
      </c>
    </row>
    <row r="1303">
      <c r="A1303" s="88">
        <v>44706.0</v>
      </c>
      <c r="B1303" s="89">
        <v>2009.0</v>
      </c>
      <c r="C1303" s="89">
        <v>3.0</v>
      </c>
      <c r="D1303" s="87" t="s">
        <v>205</v>
      </c>
      <c r="E1303" s="89">
        <v>0.0</v>
      </c>
      <c r="F1303" s="89">
        <v>0.544</v>
      </c>
      <c r="G1303" s="89">
        <v>0.257</v>
      </c>
      <c r="H1303" s="87" t="s">
        <v>227</v>
      </c>
      <c r="I1303" s="90">
        <f t="shared" si="1"/>
        <v>1.116731518</v>
      </c>
      <c r="J1303" s="81">
        <f t="shared" si="2"/>
        <v>0.4724264706</v>
      </c>
    </row>
    <row r="1304">
      <c r="A1304" s="88">
        <v>44706.0</v>
      </c>
      <c r="B1304" s="89">
        <v>2347.0</v>
      </c>
      <c r="C1304" s="89">
        <v>3.0</v>
      </c>
      <c r="D1304" s="87" t="s">
        <v>204</v>
      </c>
      <c r="E1304" s="89">
        <v>0.0</v>
      </c>
      <c r="F1304" s="89">
        <v>0.0765</v>
      </c>
      <c r="G1304" s="89">
        <v>0.036</v>
      </c>
      <c r="H1304" s="87" t="s">
        <v>227</v>
      </c>
      <c r="I1304" s="90">
        <f t="shared" si="1"/>
        <v>1.125</v>
      </c>
      <c r="J1304" s="81">
        <f t="shared" si="2"/>
        <v>0.4705882353</v>
      </c>
    </row>
    <row r="1305">
      <c r="A1305" s="88">
        <v>44706.0</v>
      </c>
      <c r="B1305" s="89">
        <v>2370.0</v>
      </c>
      <c r="C1305" s="89">
        <v>3.0</v>
      </c>
      <c r="D1305" s="87" t="s">
        <v>204</v>
      </c>
      <c r="E1305" s="89">
        <v>1.0</v>
      </c>
      <c r="F1305" s="89">
        <v>0.5908</v>
      </c>
      <c r="G1305" s="89">
        <v>0.278</v>
      </c>
      <c r="H1305" s="87" t="s">
        <v>227</v>
      </c>
      <c r="I1305" s="90">
        <f t="shared" si="1"/>
        <v>1.125179856</v>
      </c>
      <c r="J1305" s="81">
        <f t="shared" si="2"/>
        <v>0.4705484089</v>
      </c>
    </row>
    <row r="1306">
      <c r="A1306" s="88">
        <v>44706.0</v>
      </c>
      <c r="B1306" s="89">
        <v>2347.0</v>
      </c>
      <c r="C1306" s="89">
        <v>2.0</v>
      </c>
      <c r="D1306" s="87" t="s">
        <v>204</v>
      </c>
      <c r="E1306" s="89">
        <v>0.0</v>
      </c>
      <c r="F1306" s="89">
        <v>0.17</v>
      </c>
      <c r="G1306" s="89">
        <v>0.0795</v>
      </c>
      <c r="H1306" s="87" t="s">
        <v>227</v>
      </c>
      <c r="I1306" s="90">
        <f t="shared" si="1"/>
        <v>1.13836478</v>
      </c>
      <c r="J1306" s="81">
        <f t="shared" si="2"/>
        <v>0.4676470588</v>
      </c>
    </row>
    <row r="1307">
      <c r="A1307" s="88">
        <v>44706.0</v>
      </c>
      <c r="B1307" s="89">
        <v>2032.0</v>
      </c>
      <c r="C1307" s="89">
        <v>2.0</v>
      </c>
      <c r="D1307" s="87" t="s">
        <v>204</v>
      </c>
      <c r="E1307" s="89">
        <v>0.0</v>
      </c>
      <c r="F1307" s="89">
        <v>0.0193</v>
      </c>
      <c r="G1307" s="89">
        <v>0.009</v>
      </c>
      <c r="H1307" s="87" t="s">
        <v>227</v>
      </c>
      <c r="I1307" s="90">
        <f t="shared" si="1"/>
        <v>1.144444444</v>
      </c>
      <c r="J1307" s="81">
        <f t="shared" si="2"/>
        <v>0.4663212435</v>
      </c>
    </row>
    <row r="1308">
      <c r="A1308" s="88">
        <v>44706.0</v>
      </c>
      <c r="B1308" s="89">
        <v>2370.0</v>
      </c>
      <c r="C1308" s="89">
        <v>2.0</v>
      </c>
      <c r="D1308" s="87" t="s">
        <v>205</v>
      </c>
      <c r="E1308" s="89">
        <v>0.0</v>
      </c>
      <c r="F1308" s="89">
        <v>0.2919</v>
      </c>
      <c r="G1308" s="89">
        <v>0.136</v>
      </c>
      <c r="H1308" s="87" t="s">
        <v>227</v>
      </c>
      <c r="I1308" s="90">
        <f t="shared" si="1"/>
        <v>1.146323529</v>
      </c>
      <c r="J1308" s="81">
        <f t="shared" si="2"/>
        <v>0.4659129839</v>
      </c>
    </row>
    <row r="1309">
      <c r="A1309" s="88">
        <v>44706.0</v>
      </c>
      <c r="B1309" s="89">
        <v>2347.0</v>
      </c>
      <c r="C1309" s="89">
        <v>1.0</v>
      </c>
      <c r="D1309" s="87" t="s">
        <v>204</v>
      </c>
      <c r="E1309" s="89">
        <v>0.0</v>
      </c>
      <c r="F1309" s="89">
        <v>0.0966</v>
      </c>
      <c r="G1309" s="89">
        <v>0.045</v>
      </c>
      <c r="H1309" s="87" t="s">
        <v>227</v>
      </c>
      <c r="I1309" s="90">
        <f t="shared" si="1"/>
        <v>1.146666667</v>
      </c>
      <c r="J1309" s="81">
        <f t="shared" si="2"/>
        <v>0.4658385093</v>
      </c>
    </row>
    <row r="1310">
      <c r="A1310" s="88">
        <v>44706.0</v>
      </c>
      <c r="B1310" s="89">
        <v>2375.0</v>
      </c>
      <c r="C1310" s="89">
        <v>3.0</v>
      </c>
      <c r="D1310" s="87" t="s">
        <v>205</v>
      </c>
      <c r="E1310" s="89">
        <v>0.0</v>
      </c>
      <c r="F1310" s="89">
        <v>1.1447</v>
      </c>
      <c r="G1310" s="89">
        <v>0.533</v>
      </c>
      <c r="H1310" s="87" t="s">
        <v>227</v>
      </c>
      <c r="I1310" s="90">
        <f t="shared" si="1"/>
        <v>1.147654784</v>
      </c>
      <c r="J1310" s="81">
        <f t="shared" si="2"/>
        <v>0.465624181</v>
      </c>
    </row>
    <row r="1311">
      <c r="A1311" s="88">
        <v>44706.0</v>
      </c>
      <c r="B1311" s="89">
        <v>2370.0</v>
      </c>
      <c r="C1311" s="89">
        <v>1.0</v>
      </c>
      <c r="D1311" s="87" t="s">
        <v>204</v>
      </c>
      <c r="E1311" s="89">
        <v>1.0</v>
      </c>
      <c r="F1311" s="89">
        <v>0.4596</v>
      </c>
      <c r="G1311" s="89">
        <v>0.214</v>
      </c>
      <c r="H1311" s="87" t="s">
        <v>227</v>
      </c>
      <c r="I1311" s="90">
        <f t="shared" si="1"/>
        <v>1.147663551</v>
      </c>
      <c r="J1311" s="81">
        <f t="shared" si="2"/>
        <v>0.4656222802</v>
      </c>
    </row>
    <row r="1312">
      <c r="A1312" s="88">
        <v>44706.0</v>
      </c>
      <c r="B1312" s="89">
        <v>2381.0</v>
      </c>
      <c r="C1312" s="89">
        <v>1.0</v>
      </c>
      <c r="D1312" s="87" t="s">
        <v>205</v>
      </c>
      <c r="E1312" s="89">
        <v>0.0</v>
      </c>
      <c r="F1312" s="89">
        <v>0.1097</v>
      </c>
      <c r="G1312" s="89">
        <v>0.051</v>
      </c>
      <c r="H1312" s="87" t="s">
        <v>227</v>
      </c>
      <c r="I1312" s="90">
        <f t="shared" si="1"/>
        <v>1.150980392</v>
      </c>
      <c r="J1312" s="81">
        <f t="shared" si="2"/>
        <v>0.4649042844</v>
      </c>
    </row>
    <row r="1313">
      <c r="A1313" s="88">
        <v>44706.0</v>
      </c>
      <c r="B1313" s="89">
        <v>2011.0</v>
      </c>
      <c r="C1313" s="89">
        <v>3.0</v>
      </c>
      <c r="D1313" s="87" t="s">
        <v>204</v>
      </c>
      <c r="E1313" s="89">
        <v>0.0</v>
      </c>
      <c r="F1313" s="89">
        <v>0.099</v>
      </c>
      <c r="G1313" s="89">
        <v>0.046</v>
      </c>
      <c r="H1313" s="87" t="s">
        <v>227</v>
      </c>
      <c r="I1313" s="90">
        <f t="shared" si="1"/>
        <v>1.152173913</v>
      </c>
      <c r="J1313" s="81">
        <f t="shared" si="2"/>
        <v>0.4646464646</v>
      </c>
    </row>
    <row r="1314">
      <c r="A1314" s="88">
        <v>44706.0</v>
      </c>
      <c r="B1314" s="89">
        <v>2382.0</v>
      </c>
      <c r="C1314" s="89">
        <v>3.0</v>
      </c>
      <c r="D1314" s="87" t="s">
        <v>204</v>
      </c>
      <c r="E1314" s="89">
        <v>0.0</v>
      </c>
      <c r="F1314" s="89">
        <v>0.0842</v>
      </c>
      <c r="G1314" s="89">
        <v>0.039</v>
      </c>
      <c r="H1314" s="87" t="s">
        <v>227</v>
      </c>
      <c r="I1314" s="90">
        <f t="shared" si="1"/>
        <v>1.158974359</v>
      </c>
      <c r="J1314" s="81">
        <f t="shared" si="2"/>
        <v>0.4631828979</v>
      </c>
    </row>
    <row r="1315">
      <c r="A1315" s="88">
        <v>44706.0</v>
      </c>
      <c r="B1315" s="89">
        <v>2024.0</v>
      </c>
      <c r="C1315" s="89">
        <v>3.0</v>
      </c>
      <c r="D1315" s="87" t="s">
        <v>204</v>
      </c>
      <c r="E1315" s="89">
        <v>0.0</v>
      </c>
      <c r="F1315" s="89">
        <v>0.0976</v>
      </c>
      <c r="G1315" s="89">
        <v>0.0451</v>
      </c>
      <c r="H1315" s="87" t="s">
        <v>227</v>
      </c>
      <c r="I1315" s="90">
        <f t="shared" si="1"/>
        <v>1.164079823</v>
      </c>
      <c r="J1315" s="81">
        <f t="shared" si="2"/>
        <v>0.4620901639</v>
      </c>
    </row>
    <row r="1316">
      <c r="A1316" s="88">
        <v>44706.0</v>
      </c>
      <c r="B1316" s="89">
        <v>2346.0</v>
      </c>
      <c r="C1316" s="89">
        <v>3.0</v>
      </c>
      <c r="D1316" s="87" t="s">
        <v>205</v>
      </c>
      <c r="E1316" s="89">
        <v>0.0</v>
      </c>
      <c r="F1316" s="89">
        <v>0.5629</v>
      </c>
      <c r="G1316" s="89">
        <v>0.26</v>
      </c>
      <c r="H1316" s="87" t="s">
        <v>227</v>
      </c>
      <c r="I1316" s="90">
        <f t="shared" si="1"/>
        <v>1.165</v>
      </c>
      <c r="J1316" s="81">
        <f t="shared" si="2"/>
        <v>0.4618937644</v>
      </c>
    </row>
    <row r="1317">
      <c r="A1317" s="88">
        <v>44706.0</v>
      </c>
      <c r="B1317" s="89">
        <v>2010.0</v>
      </c>
      <c r="C1317" s="89">
        <v>1.0</v>
      </c>
      <c r="D1317" s="87" t="s">
        <v>205</v>
      </c>
      <c r="E1317" s="89">
        <v>0.0</v>
      </c>
      <c r="F1317" s="89">
        <v>0.825</v>
      </c>
      <c r="G1317" s="89">
        <v>0.381</v>
      </c>
      <c r="H1317" s="87" t="s">
        <v>227</v>
      </c>
      <c r="I1317" s="90">
        <f t="shared" si="1"/>
        <v>1.165354331</v>
      </c>
      <c r="J1317" s="81">
        <f t="shared" si="2"/>
        <v>0.4618181818</v>
      </c>
    </row>
    <row r="1318">
      <c r="A1318" s="88">
        <v>44706.0</v>
      </c>
      <c r="B1318" s="89">
        <v>2346.0</v>
      </c>
      <c r="C1318" s="89">
        <v>3.0</v>
      </c>
      <c r="D1318" s="87" t="s">
        <v>204</v>
      </c>
      <c r="E1318" s="89">
        <v>1.0</v>
      </c>
      <c r="F1318" s="89">
        <v>0.2341</v>
      </c>
      <c r="G1318" s="89">
        <v>0.108</v>
      </c>
      <c r="H1318" s="87" t="s">
        <v>227</v>
      </c>
      <c r="I1318" s="90">
        <f t="shared" si="1"/>
        <v>1.167592593</v>
      </c>
      <c r="J1318" s="81">
        <f t="shared" si="2"/>
        <v>0.4613413071</v>
      </c>
    </row>
    <row r="1319">
      <c r="A1319" s="88">
        <v>44706.0</v>
      </c>
      <c r="B1319" s="89">
        <v>2346.0</v>
      </c>
      <c r="C1319" s="89">
        <v>1.0</v>
      </c>
      <c r="D1319" s="87" t="s">
        <v>204</v>
      </c>
      <c r="E1319" s="89">
        <v>0.0</v>
      </c>
      <c r="F1319" s="89">
        <v>0.0629</v>
      </c>
      <c r="G1319" s="89">
        <v>0.029</v>
      </c>
      <c r="H1319" s="87" t="s">
        <v>227</v>
      </c>
      <c r="I1319" s="90">
        <f t="shared" si="1"/>
        <v>1.168965517</v>
      </c>
      <c r="J1319" s="81">
        <f t="shared" si="2"/>
        <v>0.4610492846</v>
      </c>
    </row>
    <row r="1320">
      <c r="A1320" s="88">
        <v>44706.0</v>
      </c>
      <c r="B1320" s="89">
        <v>2375.0</v>
      </c>
      <c r="C1320" s="89">
        <v>2.0</v>
      </c>
      <c r="D1320" s="87" t="s">
        <v>204</v>
      </c>
      <c r="E1320" s="89">
        <v>0.0</v>
      </c>
      <c r="F1320" s="89">
        <v>0.0567</v>
      </c>
      <c r="G1320" s="89">
        <v>0.026</v>
      </c>
      <c r="H1320" s="87" t="s">
        <v>227</v>
      </c>
      <c r="I1320" s="90">
        <f t="shared" si="1"/>
        <v>1.180769231</v>
      </c>
      <c r="J1320" s="81">
        <f t="shared" si="2"/>
        <v>0.4585537919</v>
      </c>
    </row>
    <row r="1321">
      <c r="A1321" s="88">
        <v>44706.0</v>
      </c>
      <c r="B1321" s="89">
        <v>2370.0</v>
      </c>
      <c r="C1321" s="89">
        <v>3.0</v>
      </c>
      <c r="D1321" s="87" t="s">
        <v>205</v>
      </c>
      <c r="E1321" s="89">
        <v>0.0</v>
      </c>
      <c r="F1321" s="89">
        <v>0.3456</v>
      </c>
      <c r="G1321" s="89">
        <v>0.158</v>
      </c>
      <c r="H1321" s="87" t="s">
        <v>227</v>
      </c>
      <c r="I1321" s="90">
        <f t="shared" si="1"/>
        <v>1.187341772</v>
      </c>
      <c r="J1321" s="81">
        <f t="shared" si="2"/>
        <v>0.4571759259</v>
      </c>
    </row>
    <row r="1322">
      <c r="A1322" s="88">
        <v>44706.0</v>
      </c>
      <c r="B1322" s="89">
        <v>2010.0</v>
      </c>
      <c r="C1322" s="89">
        <v>3.0</v>
      </c>
      <c r="D1322" s="87" t="s">
        <v>204</v>
      </c>
      <c r="E1322" s="89">
        <v>0.0</v>
      </c>
      <c r="F1322" s="89">
        <v>0.3614</v>
      </c>
      <c r="G1322" s="89">
        <v>0.165</v>
      </c>
      <c r="H1322" s="87" t="s">
        <v>227</v>
      </c>
      <c r="I1322" s="90">
        <f t="shared" si="1"/>
        <v>1.19030303</v>
      </c>
      <c r="J1322" s="81">
        <f t="shared" si="2"/>
        <v>0.4565578307</v>
      </c>
    </row>
    <row r="1323">
      <c r="A1323" s="88">
        <v>44706.0</v>
      </c>
      <c r="B1323" s="89">
        <v>2011.0</v>
      </c>
      <c r="C1323" s="89">
        <v>1.0</v>
      </c>
      <c r="D1323" s="87" t="s">
        <v>204</v>
      </c>
      <c r="E1323" s="89">
        <v>0.0</v>
      </c>
      <c r="F1323" s="89">
        <v>0.1272</v>
      </c>
      <c r="G1323" s="89">
        <v>0.058</v>
      </c>
      <c r="H1323" s="87" t="s">
        <v>227</v>
      </c>
      <c r="I1323" s="90">
        <f t="shared" si="1"/>
        <v>1.193103448</v>
      </c>
      <c r="J1323" s="81">
        <f t="shared" si="2"/>
        <v>0.4559748428</v>
      </c>
    </row>
    <row r="1324">
      <c r="A1324" s="88">
        <v>44706.0</v>
      </c>
      <c r="B1324" s="89">
        <v>2370.0</v>
      </c>
      <c r="C1324" s="89">
        <v>1.0</v>
      </c>
      <c r="D1324" s="87" t="s">
        <v>204</v>
      </c>
      <c r="E1324" s="89">
        <v>0.0</v>
      </c>
      <c r="F1324" s="89">
        <v>0.1319</v>
      </c>
      <c r="G1324" s="89">
        <v>0.06</v>
      </c>
      <c r="H1324" s="87" t="s">
        <v>227</v>
      </c>
      <c r="I1324" s="90">
        <f t="shared" si="1"/>
        <v>1.198333333</v>
      </c>
      <c r="J1324" s="81">
        <f t="shared" si="2"/>
        <v>0.4548900682</v>
      </c>
    </row>
    <row r="1325">
      <c r="A1325" s="88">
        <v>44706.0</v>
      </c>
      <c r="B1325" s="89">
        <v>2331.0</v>
      </c>
      <c r="C1325" s="89">
        <v>3.0</v>
      </c>
      <c r="D1325" s="87" t="s">
        <v>204</v>
      </c>
      <c r="E1325" s="89">
        <v>0.0</v>
      </c>
      <c r="F1325" s="89">
        <v>0.5239</v>
      </c>
      <c r="G1325" s="89">
        <v>0.238</v>
      </c>
      <c r="H1325" s="87" t="s">
        <v>227</v>
      </c>
      <c r="I1325" s="90">
        <f t="shared" si="1"/>
        <v>1.201260504</v>
      </c>
      <c r="J1325" s="81">
        <f t="shared" si="2"/>
        <v>0.4542851689</v>
      </c>
    </row>
    <row r="1326">
      <c r="A1326" s="88">
        <v>44706.0</v>
      </c>
      <c r="B1326" s="89">
        <v>2011.0</v>
      </c>
      <c r="C1326" s="89">
        <v>2.0</v>
      </c>
      <c r="D1326" s="87" t="s">
        <v>204</v>
      </c>
      <c r="E1326" s="89">
        <v>0.0</v>
      </c>
      <c r="F1326" s="89">
        <v>0.0596</v>
      </c>
      <c r="G1326" s="89">
        <v>0.027</v>
      </c>
      <c r="H1326" s="87" t="s">
        <v>227</v>
      </c>
      <c r="I1326" s="90">
        <f t="shared" si="1"/>
        <v>1.207407407</v>
      </c>
      <c r="J1326" s="81">
        <f t="shared" si="2"/>
        <v>0.4530201342</v>
      </c>
    </row>
    <row r="1327">
      <c r="A1327" s="88">
        <v>44706.0</v>
      </c>
      <c r="B1327" s="89">
        <v>2379.0</v>
      </c>
      <c r="C1327" s="89">
        <v>1.0</v>
      </c>
      <c r="D1327" s="87" t="s">
        <v>204</v>
      </c>
      <c r="E1327" s="89">
        <v>0.0</v>
      </c>
      <c r="F1327" s="89">
        <v>0.0552</v>
      </c>
      <c r="G1327" s="89">
        <v>0.025</v>
      </c>
      <c r="H1327" s="87" t="s">
        <v>227</v>
      </c>
      <c r="I1327" s="90">
        <f t="shared" si="1"/>
        <v>1.208</v>
      </c>
      <c r="J1327" s="81">
        <f t="shared" si="2"/>
        <v>0.4528985507</v>
      </c>
    </row>
    <row r="1328">
      <c r="A1328" s="88">
        <v>44706.0</v>
      </c>
      <c r="B1328" s="89">
        <v>2010.0</v>
      </c>
      <c r="C1328" s="89">
        <v>2.0</v>
      </c>
      <c r="D1328" s="87" t="s">
        <v>204</v>
      </c>
      <c r="E1328" s="89">
        <v>0.0</v>
      </c>
      <c r="F1328" s="89">
        <v>0.2682</v>
      </c>
      <c r="G1328" s="89">
        <v>0.121</v>
      </c>
      <c r="H1328" s="87" t="s">
        <v>227</v>
      </c>
      <c r="I1328" s="90">
        <f t="shared" si="1"/>
        <v>1.216528926</v>
      </c>
      <c r="J1328" s="81">
        <f t="shared" si="2"/>
        <v>0.4511558538</v>
      </c>
    </row>
    <row r="1329">
      <c r="A1329" s="88">
        <v>44706.0</v>
      </c>
      <c r="B1329" s="89">
        <v>2020.0</v>
      </c>
      <c r="C1329" s="89">
        <v>2.0</v>
      </c>
      <c r="D1329" s="87" t="s">
        <v>204</v>
      </c>
      <c r="E1329" s="89">
        <v>0.0</v>
      </c>
      <c r="F1329" s="89">
        <v>0.1685</v>
      </c>
      <c r="G1329" s="89">
        <v>0.076</v>
      </c>
      <c r="H1329" s="87" t="s">
        <v>227</v>
      </c>
      <c r="I1329" s="90">
        <f t="shared" si="1"/>
        <v>1.217105263</v>
      </c>
      <c r="J1329" s="81">
        <f t="shared" si="2"/>
        <v>0.4510385757</v>
      </c>
    </row>
    <row r="1330">
      <c r="A1330" s="88">
        <v>44706.0</v>
      </c>
      <c r="B1330" s="89">
        <v>2346.0</v>
      </c>
      <c r="C1330" s="89">
        <v>2.0</v>
      </c>
      <c r="D1330" s="87" t="s">
        <v>204</v>
      </c>
      <c r="E1330" s="89">
        <v>0.0</v>
      </c>
      <c r="F1330" s="89">
        <v>0.1133</v>
      </c>
      <c r="G1330" s="89">
        <v>0.051</v>
      </c>
      <c r="H1330" s="87" t="s">
        <v>227</v>
      </c>
      <c r="I1330" s="90">
        <f t="shared" si="1"/>
        <v>1.221568627</v>
      </c>
      <c r="J1330" s="81">
        <f t="shared" si="2"/>
        <v>0.4501323919</v>
      </c>
    </row>
    <row r="1331">
      <c r="A1331" s="88">
        <v>44706.0</v>
      </c>
      <c r="B1331" s="89">
        <v>2021.0</v>
      </c>
      <c r="C1331" s="89">
        <v>1.0</v>
      </c>
      <c r="D1331" s="87" t="s">
        <v>204</v>
      </c>
      <c r="E1331" s="89">
        <v>0.0</v>
      </c>
      <c r="F1331" s="89">
        <v>0.1382</v>
      </c>
      <c r="G1331" s="89">
        <v>0.062</v>
      </c>
      <c r="H1331" s="87" t="s">
        <v>227</v>
      </c>
      <c r="I1331" s="90">
        <f t="shared" si="1"/>
        <v>1.229032258</v>
      </c>
      <c r="J1331" s="81">
        <f t="shared" si="2"/>
        <v>0.4486251809</v>
      </c>
    </row>
    <row r="1332">
      <c r="A1332" s="88">
        <v>44706.0</v>
      </c>
      <c r="B1332" s="89">
        <v>2380.0</v>
      </c>
      <c r="C1332" s="89">
        <v>3.0</v>
      </c>
      <c r="D1332" s="87" t="s">
        <v>204</v>
      </c>
      <c r="E1332" s="89">
        <v>0.0</v>
      </c>
      <c r="F1332" s="89">
        <v>0.0381</v>
      </c>
      <c r="G1332" s="89">
        <v>0.017</v>
      </c>
      <c r="H1332" s="87" t="s">
        <v>227</v>
      </c>
      <c r="I1332" s="90">
        <f t="shared" si="1"/>
        <v>1.241176471</v>
      </c>
      <c r="J1332" s="81">
        <f t="shared" si="2"/>
        <v>0.4461942257</v>
      </c>
    </row>
    <row r="1333">
      <c r="A1333" s="88">
        <v>44706.0</v>
      </c>
      <c r="B1333" s="89">
        <v>2020.0</v>
      </c>
      <c r="C1333" s="89">
        <v>3.0</v>
      </c>
      <c r="D1333" s="87" t="s">
        <v>204</v>
      </c>
      <c r="E1333" s="89">
        <v>0.0</v>
      </c>
      <c r="F1333" s="89">
        <v>0.0629</v>
      </c>
      <c r="G1333" s="89">
        <v>0.028</v>
      </c>
      <c r="H1333" s="87" t="s">
        <v>227</v>
      </c>
      <c r="I1333" s="90">
        <f t="shared" si="1"/>
        <v>1.246428571</v>
      </c>
      <c r="J1333" s="81">
        <f t="shared" si="2"/>
        <v>0.4451510334</v>
      </c>
    </row>
    <row r="1334">
      <c r="A1334" s="88">
        <v>44706.0</v>
      </c>
      <c r="B1334" s="89">
        <v>2377.0</v>
      </c>
      <c r="C1334" s="89">
        <v>2.0</v>
      </c>
      <c r="D1334" s="87" t="s">
        <v>205</v>
      </c>
      <c r="E1334" s="89">
        <v>0.0</v>
      </c>
      <c r="F1334" s="89">
        <v>0.1378</v>
      </c>
      <c r="G1334" s="89">
        <v>0.061</v>
      </c>
      <c r="H1334" s="87" t="s">
        <v>227</v>
      </c>
      <c r="I1334" s="90">
        <f t="shared" si="1"/>
        <v>1.259016393</v>
      </c>
      <c r="J1334" s="81">
        <f t="shared" si="2"/>
        <v>0.442670537</v>
      </c>
    </row>
    <row r="1335">
      <c r="A1335" s="88">
        <v>44706.0</v>
      </c>
      <c r="B1335" s="89">
        <v>2009.0</v>
      </c>
      <c r="C1335" s="89">
        <v>1.0</v>
      </c>
      <c r="D1335" s="87" t="s">
        <v>204</v>
      </c>
      <c r="E1335" s="89">
        <v>0.0</v>
      </c>
      <c r="F1335" s="89">
        <v>0.244</v>
      </c>
      <c r="G1335" s="89">
        <v>0.108</v>
      </c>
      <c r="H1335" s="87" t="s">
        <v>227</v>
      </c>
      <c r="I1335" s="90">
        <f t="shared" si="1"/>
        <v>1.259259259</v>
      </c>
      <c r="J1335" s="81">
        <f t="shared" si="2"/>
        <v>0.4426229508</v>
      </c>
    </row>
    <row r="1336">
      <c r="A1336" s="88">
        <v>44706.0</v>
      </c>
      <c r="B1336" s="89">
        <v>2378.0</v>
      </c>
      <c r="C1336" s="89">
        <v>2.0</v>
      </c>
      <c r="D1336" s="87" t="s">
        <v>204</v>
      </c>
      <c r="E1336" s="89">
        <v>0.0</v>
      </c>
      <c r="F1336" s="89">
        <v>0.227</v>
      </c>
      <c r="G1336" s="89">
        <v>0.1</v>
      </c>
      <c r="H1336" s="87" t="s">
        <v>227</v>
      </c>
      <c r="I1336" s="90">
        <f t="shared" si="1"/>
        <v>1.27</v>
      </c>
      <c r="J1336" s="81">
        <f t="shared" si="2"/>
        <v>0.4405286344</v>
      </c>
    </row>
    <row r="1337">
      <c r="A1337" s="88">
        <v>44706.0</v>
      </c>
      <c r="B1337" s="89">
        <v>2379.0</v>
      </c>
      <c r="C1337" s="89">
        <v>2.0</v>
      </c>
      <c r="D1337" s="87" t="s">
        <v>204</v>
      </c>
      <c r="E1337" s="89">
        <v>0.0</v>
      </c>
      <c r="F1337" s="89">
        <v>0.1091</v>
      </c>
      <c r="G1337" s="89">
        <v>0.048</v>
      </c>
      <c r="H1337" s="87" t="s">
        <v>227</v>
      </c>
      <c r="I1337" s="90">
        <f t="shared" si="1"/>
        <v>1.272916667</v>
      </c>
      <c r="J1337" s="81">
        <f t="shared" si="2"/>
        <v>0.4399633364</v>
      </c>
    </row>
    <row r="1338">
      <c r="A1338" s="88">
        <v>44706.0</v>
      </c>
      <c r="B1338" s="89">
        <v>2382.0</v>
      </c>
      <c r="C1338" s="89">
        <v>1.0</v>
      </c>
      <c r="D1338" s="87" t="s">
        <v>204</v>
      </c>
      <c r="E1338" s="89">
        <v>0.0</v>
      </c>
      <c r="F1338" s="89">
        <v>0.0453</v>
      </c>
      <c r="G1338" s="89">
        <v>0.0199</v>
      </c>
      <c r="H1338" s="87" t="s">
        <v>227</v>
      </c>
      <c r="I1338" s="90">
        <f t="shared" si="1"/>
        <v>1.27638191</v>
      </c>
      <c r="J1338" s="81">
        <f t="shared" si="2"/>
        <v>0.4392935982</v>
      </c>
    </row>
    <row r="1339">
      <c r="A1339" s="88">
        <v>44706.0</v>
      </c>
      <c r="B1339" s="89">
        <v>2375.0</v>
      </c>
      <c r="C1339" s="89">
        <v>3.0</v>
      </c>
      <c r="D1339" s="87" t="s">
        <v>204</v>
      </c>
      <c r="E1339" s="89">
        <v>0.0</v>
      </c>
      <c r="F1339" s="89">
        <v>0.1352</v>
      </c>
      <c r="G1339" s="89">
        <v>0.059</v>
      </c>
      <c r="H1339" s="87" t="s">
        <v>227</v>
      </c>
      <c r="I1339" s="90">
        <f t="shared" si="1"/>
        <v>1.291525424</v>
      </c>
      <c r="J1339" s="81">
        <f t="shared" si="2"/>
        <v>0.4363905325</v>
      </c>
    </row>
    <row r="1340">
      <c r="A1340" s="88">
        <v>44706.0</v>
      </c>
      <c r="B1340" s="89">
        <v>2379.0</v>
      </c>
      <c r="C1340" s="89">
        <v>3.0</v>
      </c>
      <c r="D1340" s="87" t="s">
        <v>204</v>
      </c>
      <c r="E1340" s="89">
        <v>0.0</v>
      </c>
      <c r="F1340" s="89">
        <v>0.117</v>
      </c>
      <c r="G1340" s="89">
        <v>0.051</v>
      </c>
      <c r="H1340" s="87" t="s">
        <v>227</v>
      </c>
      <c r="I1340" s="90">
        <f t="shared" si="1"/>
        <v>1.294117647</v>
      </c>
      <c r="J1340" s="81">
        <f t="shared" si="2"/>
        <v>0.4358974359</v>
      </c>
    </row>
    <row r="1341">
      <c r="A1341" s="88">
        <v>44706.0</v>
      </c>
      <c r="B1341" s="89">
        <v>2370.0</v>
      </c>
      <c r="C1341" s="89">
        <v>3.0</v>
      </c>
      <c r="D1341" s="87" t="s">
        <v>204</v>
      </c>
      <c r="E1341" s="89">
        <v>0.0</v>
      </c>
      <c r="F1341" s="89">
        <v>0.0482</v>
      </c>
      <c r="G1341" s="89">
        <v>0.021</v>
      </c>
      <c r="H1341" s="87" t="s">
        <v>227</v>
      </c>
      <c r="I1341" s="90">
        <f t="shared" si="1"/>
        <v>1.295238095</v>
      </c>
      <c r="J1341" s="81">
        <f t="shared" si="2"/>
        <v>0.4356846473</v>
      </c>
    </row>
    <row r="1342">
      <c r="A1342" s="88">
        <v>44706.0</v>
      </c>
      <c r="B1342" s="89">
        <v>2009.0</v>
      </c>
      <c r="C1342" s="89">
        <v>2.0</v>
      </c>
      <c r="D1342" s="87" t="s">
        <v>204</v>
      </c>
      <c r="E1342" s="89">
        <v>0.0</v>
      </c>
      <c r="F1342" s="89">
        <v>0.088</v>
      </c>
      <c r="G1342" s="89">
        <v>0.038</v>
      </c>
      <c r="H1342" s="87" t="s">
        <v>227</v>
      </c>
      <c r="I1342" s="90">
        <f t="shared" si="1"/>
        <v>1.315789474</v>
      </c>
      <c r="J1342" s="81">
        <f t="shared" si="2"/>
        <v>0.4318181818</v>
      </c>
    </row>
    <row r="1343">
      <c r="A1343" s="88">
        <v>44706.0</v>
      </c>
      <c r="B1343" s="89">
        <v>2375.0</v>
      </c>
      <c r="C1343" s="89">
        <v>1.0</v>
      </c>
      <c r="D1343" s="87" t="s">
        <v>204</v>
      </c>
      <c r="E1343" s="89">
        <v>0.0</v>
      </c>
      <c r="F1343" s="89">
        <v>0.2068</v>
      </c>
      <c r="G1343" s="89">
        <v>0.089</v>
      </c>
      <c r="H1343" s="87" t="s">
        <v>227</v>
      </c>
      <c r="I1343" s="90">
        <f t="shared" si="1"/>
        <v>1.323595506</v>
      </c>
      <c r="J1343" s="81">
        <f t="shared" si="2"/>
        <v>0.4303675048</v>
      </c>
    </row>
    <row r="1344">
      <c r="A1344" s="88">
        <v>44706.0</v>
      </c>
      <c r="B1344" s="89">
        <v>2009.0</v>
      </c>
      <c r="C1344" s="89">
        <v>3.0</v>
      </c>
      <c r="D1344" s="87" t="s">
        <v>204</v>
      </c>
      <c r="E1344" s="89">
        <v>0.0</v>
      </c>
      <c r="F1344" s="89">
        <v>0.0422</v>
      </c>
      <c r="G1344" s="89">
        <v>0.018</v>
      </c>
      <c r="H1344" s="87" t="s">
        <v>227</v>
      </c>
      <c r="I1344" s="90">
        <f t="shared" si="1"/>
        <v>1.344444444</v>
      </c>
      <c r="J1344" s="81">
        <f t="shared" si="2"/>
        <v>0.4265402844</v>
      </c>
    </row>
    <row r="1345">
      <c r="A1345" s="88">
        <v>44706.0</v>
      </c>
      <c r="B1345" s="89">
        <v>2010.0</v>
      </c>
      <c r="C1345" s="89">
        <v>1.0</v>
      </c>
      <c r="D1345" s="87" t="s">
        <v>204</v>
      </c>
      <c r="E1345" s="89">
        <v>0.0</v>
      </c>
      <c r="F1345" s="89">
        <v>0.0868</v>
      </c>
      <c r="G1345" s="89">
        <v>0.037</v>
      </c>
      <c r="H1345" s="87" t="s">
        <v>227</v>
      </c>
      <c r="I1345" s="90">
        <f t="shared" si="1"/>
        <v>1.345945946</v>
      </c>
      <c r="J1345" s="81">
        <f t="shared" si="2"/>
        <v>0.4262672811</v>
      </c>
    </row>
    <row r="1346">
      <c r="A1346" s="88">
        <v>44706.0</v>
      </c>
      <c r="B1346" s="89">
        <v>2380.0</v>
      </c>
      <c r="C1346" s="89">
        <v>2.0</v>
      </c>
      <c r="D1346" s="87" t="s">
        <v>204</v>
      </c>
      <c r="E1346" s="89">
        <v>0.0</v>
      </c>
      <c r="F1346" s="89">
        <v>0.0268</v>
      </c>
      <c r="G1346" s="89">
        <v>0.0114</v>
      </c>
      <c r="H1346" s="87" t="s">
        <v>227</v>
      </c>
      <c r="I1346" s="90">
        <f t="shared" si="1"/>
        <v>1.350877193</v>
      </c>
      <c r="J1346" s="81">
        <f t="shared" si="2"/>
        <v>0.4253731343</v>
      </c>
    </row>
    <row r="1347">
      <c r="A1347" s="88">
        <v>44706.0</v>
      </c>
      <c r="B1347" s="89">
        <v>2346.0</v>
      </c>
      <c r="C1347" s="89">
        <v>3.0</v>
      </c>
      <c r="D1347" s="87" t="s">
        <v>204</v>
      </c>
      <c r="E1347" s="89">
        <v>0.0</v>
      </c>
      <c r="F1347" s="89">
        <v>0.068</v>
      </c>
      <c r="G1347" s="89">
        <v>0.028</v>
      </c>
      <c r="H1347" s="87" t="s">
        <v>227</v>
      </c>
      <c r="I1347" s="90">
        <f t="shared" si="1"/>
        <v>1.428571429</v>
      </c>
      <c r="J1347" s="81">
        <f t="shared" si="2"/>
        <v>0.4117647059</v>
      </c>
    </row>
    <row r="1348">
      <c r="A1348" s="88">
        <v>44706.0</v>
      </c>
      <c r="B1348" s="89">
        <v>2370.0</v>
      </c>
      <c r="C1348" s="89">
        <v>2.0</v>
      </c>
      <c r="D1348" s="87" t="s">
        <v>204</v>
      </c>
      <c r="E1348" s="89">
        <v>0.0</v>
      </c>
      <c r="F1348" s="89">
        <v>0.0307</v>
      </c>
      <c r="G1348" s="89">
        <v>0.012</v>
      </c>
      <c r="H1348" s="87" t="s">
        <v>227</v>
      </c>
      <c r="I1348" s="90">
        <f t="shared" si="1"/>
        <v>1.558333333</v>
      </c>
      <c r="J1348" s="81">
        <f t="shared" si="2"/>
        <v>0.3908794788</v>
      </c>
    </row>
    <row r="1349">
      <c r="A1349" s="88">
        <v>44706.0</v>
      </c>
      <c r="B1349" s="89">
        <v>2382.0</v>
      </c>
      <c r="C1349" s="89">
        <v>3.0</v>
      </c>
      <c r="D1349" s="87" t="s">
        <v>205</v>
      </c>
      <c r="E1349" s="89">
        <v>0.0</v>
      </c>
      <c r="F1349" s="89">
        <v>0.9931</v>
      </c>
      <c r="G1349" s="89">
        <v>0.0506</v>
      </c>
      <c r="H1349" s="87" t="s">
        <v>227</v>
      </c>
      <c r="I1349" s="90">
        <f t="shared" si="1"/>
        <v>18.62648221</v>
      </c>
      <c r="J1349" s="81">
        <f t="shared" si="2"/>
        <v>0.0509515658</v>
      </c>
      <c r="K1349" s="66">
        <v>1.0</v>
      </c>
    </row>
    <row r="1350">
      <c r="A1350" s="88">
        <v>44706.0</v>
      </c>
      <c r="B1350" s="89">
        <v>2372.0</v>
      </c>
      <c r="C1350" s="89">
        <v>2.0</v>
      </c>
      <c r="D1350" s="87" t="s">
        <v>204</v>
      </c>
      <c r="E1350" s="89">
        <v>0.0</v>
      </c>
      <c r="F1350" s="89">
        <v>0.2051</v>
      </c>
      <c r="G1350" s="89">
        <v>0.0093</v>
      </c>
      <c r="H1350" s="87" t="s">
        <v>227</v>
      </c>
      <c r="I1350" s="90">
        <f t="shared" si="1"/>
        <v>21.05376344</v>
      </c>
      <c r="J1350" s="81">
        <f t="shared" si="2"/>
        <v>0.04534373476</v>
      </c>
      <c r="K1350" s="66">
        <v>1.0</v>
      </c>
    </row>
    <row r="1351">
      <c r="A1351" s="88">
        <v>44708.0</v>
      </c>
      <c r="B1351" s="89">
        <v>2093.0</v>
      </c>
      <c r="C1351" s="89">
        <v>1.0</v>
      </c>
      <c r="D1351" s="87" t="s">
        <v>205</v>
      </c>
      <c r="E1351" s="89">
        <v>1.0</v>
      </c>
      <c r="F1351" s="89">
        <v>0.2967</v>
      </c>
      <c r="G1351" s="89">
        <v>0.194</v>
      </c>
      <c r="H1351" s="87" t="s">
        <v>227</v>
      </c>
      <c r="I1351" s="90">
        <f t="shared" si="1"/>
        <v>0.5293814433</v>
      </c>
      <c r="J1351" s="81">
        <f t="shared" si="2"/>
        <v>0.653859117</v>
      </c>
    </row>
    <row r="1352">
      <c r="A1352" s="88">
        <v>44708.0</v>
      </c>
      <c r="B1352" s="89">
        <v>2093.0</v>
      </c>
      <c r="C1352" s="89">
        <v>3.0</v>
      </c>
      <c r="D1352" s="87" t="s">
        <v>205</v>
      </c>
      <c r="E1352" s="89">
        <v>1.0</v>
      </c>
      <c r="F1352" s="89">
        <v>0.827</v>
      </c>
      <c r="G1352" s="89">
        <v>0.532</v>
      </c>
      <c r="H1352" s="87" t="s">
        <v>227</v>
      </c>
      <c r="I1352" s="90">
        <f t="shared" si="1"/>
        <v>0.5545112782</v>
      </c>
      <c r="J1352" s="81">
        <f t="shared" si="2"/>
        <v>0.6432889964</v>
      </c>
    </row>
    <row r="1353">
      <c r="A1353" s="88">
        <v>44708.0</v>
      </c>
      <c r="B1353" s="89">
        <v>2093.0</v>
      </c>
      <c r="C1353" s="89">
        <v>3.0</v>
      </c>
      <c r="D1353" s="87" t="s">
        <v>205</v>
      </c>
      <c r="E1353" s="89">
        <v>1.0</v>
      </c>
      <c r="F1353" s="89">
        <v>0.184</v>
      </c>
      <c r="G1353" s="89">
        <v>0.115</v>
      </c>
      <c r="H1353" s="87" t="s">
        <v>227</v>
      </c>
      <c r="I1353" s="90">
        <f t="shared" si="1"/>
        <v>0.6</v>
      </c>
      <c r="J1353" s="81">
        <f t="shared" si="2"/>
        <v>0.625</v>
      </c>
    </row>
    <row r="1354">
      <c r="A1354" s="88">
        <v>44708.0</v>
      </c>
      <c r="B1354" s="89">
        <v>2091.0</v>
      </c>
      <c r="C1354" s="89">
        <v>3.0</v>
      </c>
      <c r="D1354" s="87" t="s">
        <v>205</v>
      </c>
      <c r="E1354" s="89">
        <v>1.0</v>
      </c>
      <c r="F1354" s="89">
        <v>2.632</v>
      </c>
      <c r="G1354" s="89">
        <v>1.638</v>
      </c>
      <c r="H1354" s="87" t="s">
        <v>227</v>
      </c>
      <c r="I1354" s="90">
        <f t="shared" si="1"/>
        <v>0.6068376068</v>
      </c>
      <c r="J1354" s="81">
        <f t="shared" si="2"/>
        <v>0.6223404255</v>
      </c>
    </row>
    <row r="1355">
      <c r="A1355" s="88">
        <v>44708.0</v>
      </c>
      <c r="B1355" s="89">
        <v>2091.0</v>
      </c>
      <c r="C1355" s="89">
        <v>1.0</v>
      </c>
      <c r="D1355" s="87" t="s">
        <v>205</v>
      </c>
      <c r="E1355" s="89">
        <v>1.0</v>
      </c>
      <c r="F1355" s="89">
        <v>1.8882</v>
      </c>
      <c r="G1355" s="89">
        <v>1.174</v>
      </c>
      <c r="H1355" s="87" t="s">
        <v>227</v>
      </c>
      <c r="I1355" s="90">
        <f t="shared" si="1"/>
        <v>0.6083475298</v>
      </c>
      <c r="J1355" s="81">
        <f t="shared" si="2"/>
        <v>0.6217561699</v>
      </c>
    </row>
    <row r="1356">
      <c r="A1356" s="88">
        <v>44708.0</v>
      </c>
      <c r="B1356" s="89">
        <v>2089.0</v>
      </c>
      <c r="C1356" s="89">
        <v>2.0</v>
      </c>
      <c r="D1356" s="87" t="s">
        <v>205</v>
      </c>
      <c r="E1356" s="89">
        <v>1.0</v>
      </c>
      <c r="F1356" s="89">
        <v>1.329</v>
      </c>
      <c r="G1356" s="89">
        <v>0.826</v>
      </c>
      <c r="H1356" s="87" t="s">
        <v>227</v>
      </c>
      <c r="I1356" s="90">
        <f t="shared" si="1"/>
        <v>0.6089588378</v>
      </c>
      <c r="J1356" s="81">
        <f t="shared" si="2"/>
        <v>0.6215199398</v>
      </c>
    </row>
    <row r="1357">
      <c r="A1357" s="88">
        <v>44708.0</v>
      </c>
      <c r="B1357" s="89">
        <v>2089.0</v>
      </c>
      <c r="C1357" s="89">
        <v>1.0</v>
      </c>
      <c r="D1357" s="87" t="s">
        <v>205</v>
      </c>
      <c r="E1357" s="89">
        <v>1.0</v>
      </c>
      <c r="F1357" s="89">
        <v>2.893</v>
      </c>
      <c r="G1357" s="89">
        <v>1.769</v>
      </c>
      <c r="H1357" s="87" t="s">
        <v>227</v>
      </c>
      <c r="I1357" s="90">
        <f t="shared" si="1"/>
        <v>0.6353872244</v>
      </c>
      <c r="J1357" s="81">
        <f t="shared" si="2"/>
        <v>0.6114759765</v>
      </c>
    </row>
    <row r="1358">
      <c r="A1358" s="88">
        <v>44708.0</v>
      </c>
      <c r="B1358" s="89">
        <v>2004.0</v>
      </c>
      <c r="C1358" s="89">
        <v>1.0</v>
      </c>
      <c r="D1358" s="87" t="s">
        <v>205</v>
      </c>
      <c r="E1358" s="89">
        <v>0.0</v>
      </c>
      <c r="F1358" s="89">
        <v>0.775</v>
      </c>
      <c r="G1358" s="89">
        <v>0.472</v>
      </c>
      <c r="H1358" s="87" t="s">
        <v>227</v>
      </c>
      <c r="I1358" s="90">
        <f t="shared" si="1"/>
        <v>0.6419491525</v>
      </c>
      <c r="J1358" s="81">
        <f t="shared" si="2"/>
        <v>0.6090322581</v>
      </c>
    </row>
    <row r="1359">
      <c r="A1359" s="88">
        <v>44708.0</v>
      </c>
      <c r="B1359" s="89">
        <v>2091.0</v>
      </c>
      <c r="C1359" s="89">
        <v>2.0</v>
      </c>
      <c r="D1359" s="87" t="s">
        <v>205</v>
      </c>
      <c r="E1359" s="89">
        <v>1.0</v>
      </c>
      <c r="F1359" s="89">
        <v>0.9241</v>
      </c>
      <c r="G1359" s="89">
        <v>0.561</v>
      </c>
      <c r="H1359" s="87" t="s">
        <v>227</v>
      </c>
      <c r="I1359" s="90">
        <f t="shared" si="1"/>
        <v>0.6472370766</v>
      </c>
      <c r="J1359" s="81">
        <f t="shared" si="2"/>
        <v>0.6070771562</v>
      </c>
    </row>
    <row r="1360">
      <c r="A1360" s="88">
        <v>44708.0</v>
      </c>
      <c r="B1360" s="89">
        <v>2092.0</v>
      </c>
      <c r="C1360" s="89">
        <v>1.0</v>
      </c>
      <c r="D1360" s="87" t="s">
        <v>205</v>
      </c>
      <c r="E1360" s="89">
        <v>1.0</v>
      </c>
      <c r="F1360" s="89">
        <v>1.546</v>
      </c>
      <c r="G1360" s="89">
        <v>0.925</v>
      </c>
      <c r="H1360" s="87" t="s">
        <v>227</v>
      </c>
      <c r="I1360" s="90">
        <f t="shared" si="1"/>
        <v>0.6713513514</v>
      </c>
      <c r="J1360" s="81">
        <f t="shared" si="2"/>
        <v>0.5983182406</v>
      </c>
    </row>
    <row r="1361">
      <c r="A1361" s="88">
        <v>44708.0</v>
      </c>
      <c r="B1361" s="89">
        <v>2089.0</v>
      </c>
      <c r="C1361" s="89">
        <v>3.0</v>
      </c>
      <c r="D1361" s="87" t="s">
        <v>205</v>
      </c>
      <c r="E1361" s="89">
        <v>1.0</v>
      </c>
      <c r="F1361" s="89">
        <v>0.636</v>
      </c>
      <c r="G1361" s="89">
        <v>0.375</v>
      </c>
      <c r="H1361" s="87" t="s">
        <v>227</v>
      </c>
      <c r="I1361" s="90">
        <f t="shared" si="1"/>
        <v>0.696</v>
      </c>
      <c r="J1361" s="81">
        <f t="shared" si="2"/>
        <v>0.5896226415</v>
      </c>
    </row>
    <row r="1362">
      <c r="A1362" s="88">
        <v>44708.0</v>
      </c>
      <c r="B1362" s="89">
        <v>2093.0</v>
      </c>
      <c r="C1362" s="89">
        <v>3.0</v>
      </c>
      <c r="D1362" s="87" t="s">
        <v>205</v>
      </c>
      <c r="E1362" s="89">
        <v>0.0</v>
      </c>
      <c r="F1362" s="89">
        <v>1.218</v>
      </c>
      <c r="G1362" s="89">
        <v>0.713</v>
      </c>
      <c r="H1362" s="87" t="s">
        <v>227</v>
      </c>
      <c r="I1362" s="90">
        <f t="shared" si="1"/>
        <v>0.7082748948</v>
      </c>
      <c r="J1362" s="81">
        <f t="shared" si="2"/>
        <v>0.5853858785</v>
      </c>
    </row>
    <row r="1363">
      <c r="A1363" s="88">
        <v>44708.0</v>
      </c>
      <c r="B1363" s="89">
        <v>2006.0</v>
      </c>
      <c r="C1363" s="89">
        <v>3.0</v>
      </c>
      <c r="D1363" s="87" t="s">
        <v>205</v>
      </c>
      <c r="E1363" s="89">
        <v>0.0</v>
      </c>
      <c r="F1363" s="89">
        <v>0.8867</v>
      </c>
      <c r="G1363" s="89">
        <v>0.51</v>
      </c>
      <c r="H1363" s="87" t="s">
        <v>227</v>
      </c>
      <c r="I1363" s="90">
        <f t="shared" si="1"/>
        <v>0.738627451</v>
      </c>
      <c r="J1363" s="81">
        <f t="shared" si="2"/>
        <v>0.5751663471</v>
      </c>
    </row>
    <row r="1364">
      <c r="A1364" s="88">
        <v>44708.0</v>
      </c>
      <c r="B1364" s="89">
        <v>2091.0</v>
      </c>
      <c r="C1364" s="89">
        <v>1.0</v>
      </c>
      <c r="D1364" s="87" t="s">
        <v>205</v>
      </c>
      <c r="E1364" s="89">
        <v>0.0</v>
      </c>
      <c r="F1364" s="89">
        <v>1.5903</v>
      </c>
      <c r="G1364" s="89">
        <v>0.912</v>
      </c>
      <c r="H1364" s="87" t="s">
        <v>227</v>
      </c>
      <c r="I1364" s="90">
        <f t="shared" si="1"/>
        <v>0.74375</v>
      </c>
      <c r="J1364" s="81">
        <f t="shared" si="2"/>
        <v>0.5734767025</v>
      </c>
    </row>
    <row r="1365">
      <c r="A1365" s="88">
        <v>44708.0</v>
      </c>
      <c r="B1365" s="89">
        <v>2093.0</v>
      </c>
      <c r="C1365" s="89">
        <v>1.0</v>
      </c>
      <c r="D1365" s="87" t="s">
        <v>204</v>
      </c>
      <c r="E1365" s="89">
        <v>1.0</v>
      </c>
      <c r="F1365" s="89">
        <v>0.0647</v>
      </c>
      <c r="G1365" s="89">
        <v>0.037</v>
      </c>
      <c r="H1365" s="87" t="s">
        <v>227</v>
      </c>
      <c r="I1365" s="90">
        <f t="shared" si="1"/>
        <v>0.7486486486</v>
      </c>
      <c r="J1365" s="81">
        <f t="shared" si="2"/>
        <v>0.57187017</v>
      </c>
    </row>
    <row r="1366">
      <c r="A1366" s="88">
        <v>44708.0</v>
      </c>
      <c r="B1366" s="89">
        <v>2006.0</v>
      </c>
      <c r="C1366" s="89">
        <v>3.0</v>
      </c>
      <c r="D1366" s="87" t="s">
        <v>204</v>
      </c>
      <c r="E1366" s="89">
        <v>0.0</v>
      </c>
      <c r="F1366" s="89">
        <v>0.1382</v>
      </c>
      <c r="G1366" s="89">
        <v>0.079</v>
      </c>
      <c r="H1366" s="87" t="s">
        <v>227</v>
      </c>
      <c r="I1366" s="90">
        <f t="shared" si="1"/>
        <v>0.7493670886</v>
      </c>
      <c r="J1366" s="81">
        <f t="shared" si="2"/>
        <v>0.5716353111</v>
      </c>
    </row>
    <row r="1367">
      <c r="A1367" s="88">
        <v>44708.0</v>
      </c>
      <c r="B1367" s="89">
        <v>2092.0</v>
      </c>
      <c r="C1367" s="89">
        <v>2.0</v>
      </c>
      <c r="D1367" s="87" t="s">
        <v>205</v>
      </c>
      <c r="E1367" s="89">
        <v>1.0</v>
      </c>
      <c r="F1367" s="89">
        <v>0.595</v>
      </c>
      <c r="G1367" s="89">
        <v>0.34</v>
      </c>
      <c r="H1367" s="87" t="s">
        <v>227</v>
      </c>
      <c r="I1367" s="90">
        <f t="shared" si="1"/>
        <v>0.75</v>
      </c>
      <c r="J1367" s="81">
        <f t="shared" si="2"/>
        <v>0.5714285714</v>
      </c>
    </row>
    <row r="1368">
      <c r="A1368" s="88">
        <v>44708.0</v>
      </c>
      <c r="B1368" s="89">
        <v>2007.0</v>
      </c>
      <c r="C1368" s="89">
        <v>1.0</v>
      </c>
      <c r="D1368" s="87" t="s">
        <v>205</v>
      </c>
      <c r="E1368" s="89">
        <v>0.0</v>
      </c>
      <c r="F1368" s="89">
        <v>1.2503</v>
      </c>
      <c r="G1368" s="89">
        <v>0.712</v>
      </c>
      <c r="H1368" s="87" t="s">
        <v>227</v>
      </c>
      <c r="I1368" s="90">
        <f t="shared" si="1"/>
        <v>0.7560393258</v>
      </c>
      <c r="J1368" s="81">
        <f t="shared" si="2"/>
        <v>0.5694633288</v>
      </c>
    </row>
    <row r="1369">
      <c r="A1369" s="88">
        <v>44708.0</v>
      </c>
      <c r="B1369" s="89">
        <v>2087.0</v>
      </c>
      <c r="C1369" s="89">
        <v>2.0</v>
      </c>
      <c r="D1369" s="87" t="s">
        <v>205</v>
      </c>
      <c r="E1369" s="89">
        <v>0.0</v>
      </c>
      <c r="F1369" s="89">
        <v>0.437</v>
      </c>
      <c r="G1369" s="89">
        <v>0.248</v>
      </c>
      <c r="H1369" s="87" t="s">
        <v>227</v>
      </c>
      <c r="I1369" s="90">
        <f t="shared" si="1"/>
        <v>0.7620967742</v>
      </c>
      <c r="J1369" s="81">
        <f t="shared" si="2"/>
        <v>0.5675057208</v>
      </c>
    </row>
    <row r="1370">
      <c r="A1370" s="88">
        <v>44708.0</v>
      </c>
      <c r="B1370" s="89">
        <v>2012.0</v>
      </c>
      <c r="C1370" s="89">
        <v>3.0</v>
      </c>
      <c r="D1370" s="87" t="s">
        <v>204</v>
      </c>
      <c r="E1370" s="89">
        <v>0.0</v>
      </c>
      <c r="F1370" s="89">
        <v>0.023</v>
      </c>
      <c r="G1370" s="89">
        <v>0.013</v>
      </c>
      <c r="H1370" s="87" t="s">
        <v>227</v>
      </c>
      <c r="I1370" s="90">
        <f t="shared" si="1"/>
        <v>0.7692307692</v>
      </c>
      <c r="J1370" s="81">
        <f t="shared" si="2"/>
        <v>0.5652173913</v>
      </c>
    </row>
    <row r="1371">
      <c r="A1371" s="88">
        <v>44708.0</v>
      </c>
      <c r="B1371" s="89">
        <v>2093.0</v>
      </c>
      <c r="C1371" s="89">
        <v>2.0</v>
      </c>
      <c r="D1371" s="87" t="s">
        <v>205</v>
      </c>
      <c r="E1371" s="89">
        <v>0.0</v>
      </c>
      <c r="F1371" s="89">
        <v>0.945</v>
      </c>
      <c r="G1371" s="89">
        <v>0.534</v>
      </c>
      <c r="H1371" s="87" t="s">
        <v>227</v>
      </c>
      <c r="I1371" s="90">
        <f t="shared" si="1"/>
        <v>0.7696629213</v>
      </c>
      <c r="J1371" s="81">
        <f t="shared" si="2"/>
        <v>0.5650793651</v>
      </c>
    </row>
    <row r="1372">
      <c r="A1372" s="88">
        <v>44708.0</v>
      </c>
      <c r="B1372" s="89">
        <v>2007.0</v>
      </c>
      <c r="C1372" s="89">
        <v>3.0</v>
      </c>
      <c r="D1372" s="87" t="s">
        <v>205</v>
      </c>
      <c r="E1372" s="89">
        <v>0.0</v>
      </c>
      <c r="F1372" s="89">
        <v>1.4668</v>
      </c>
      <c r="G1372" s="89">
        <v>0.827</v>
      </c>
      <c r="H1372" s="87" t="s">
        <v>227</v>
      </c>
      <c r="I1372" s="90">
        <f t="shared" si="1"/>
        <v>0.7736396614</v>
      </c>
      <c r="J1372" s="81">
        <f t="shared" si="2"/>
        <v>0.5638123807</v>
      </c>
    </row>
    <row r="1373">
      <c r="A1373" s="88">
        <v>44708.0</v>
      </c>
      <c r="B1373" s="89">
        <v>2004.0</v>
      </c>
      <c r="C1373" s="89">
        <v>3.0</v>
      </c>
      <c r="D1373" s="87" t="s">
        <v>205</v>
      </c>
      <c r="E1373" s="89">
        <v>0.0</v>
      </c>
      <c r="F1373" s="89">
        <v>0.387</v>
      </c>
      <c r="G1373" s="89">
        <v>0.218</v>
      </c>
      <c r="H1373" s="87" t="s">
        <v>227</v>
      </c>
      <c r="I1373" s="90">
        <f t="shared" si="1"/>
        <v>0.7752293578</v>
      </c>
      <c r="J1373" s="81">
        <f t="shared" si="2"/>
        <v>0.5633074935</v>
      </c>
    </row>
    <row r="1374">
      <c r="A1374" s="88">
        <v>44708.0</v>
      </c>
      <c r="B1374" s="89">
        <v>2008.0</v>
      </c>
      <c r="C1374" s="89">
        <v>3.0</v>
      </c>
      <c r="D1374" s="87" t="s">
        <v>205</v>
      </c>
      <c r="E1374" s="89">
        <v>0.0</v>
      </c>
      <c r="F1374" s="89">
        <v>0.4355</v>
      </c>
      <c r="G1374" s="89">
        <v>0.245</v>
      </c>
      <c r="H1374" s="87" t="s">
        <v>227</v>
      </c>
      <c r="I1374" s="90">
        <f t="shared" si="1"/>
        <v>0.7775510204</v>
      </c>
      <c r="J1374" s="81">
        <f t="shared" si="2"/>
        <v>0.5625717566</v>
      </c>
    </row>
    <row r="1375">
      <c r="A1375" s="88">
        <v>44708.0</v>
      </c>
      <c r="B1375" s="89">
        <v>2004.0</v>
      </c>
      <c r="C1375" s="89">
        <v>2.0</v>
      </c>
      <c r="D1375" s="87" t="s">
        <v>205</v>
      </c>
      <c r="E1375" s="89">
        <v>0.0</v>
      </c>
      <c r="F1375" s="89">
        <v>0.939</v>
      </c>
      <c r="G1375" s="89">
        <v>0.528</v>
      </c>
      <c r="H1375" s="87" t="s">
        <v>227</v>
      </c>
      <c r="I1375" s="90">
        <f t="shared" si="1"/>
        <v>0.7784090909</v>
      </c>
      <c r="J1375" s="81">
        <f t="shared" si="2"/>
        <v>0.5623003195</v>
      </c>
    </row>
    <row r="1376">
      <c r="A1376" s="88">
        <v>44708.0</v>
      </c>
      <c r="B1376" s="89">
        <v>2008.0</v>
      </c>
      <c r="C1376" s="89">
        <v>3.0</v>
      </c>
      <c r="D1376" s="87" t="s">
        <v>204</v>
      </c>
      <c r="E1376" s="89">
        <v>1.0</v>
      </c>
      <c r="F1376" s="89">
        <v>0.0232</v>
      </c>
      <c r="G1376" s="89">
        <v>0.013</v>
      </c>
      <c r="H1376" s="87" t="s">
        <v>227</v>
      </c>
      <c r="I1376" s="90">
        <f t="shared" si="1"/>
        <v>0.7846153846</v>
      </c>
      <c r="J1376" s="81">
        <f t="shared" si="2"/>
        <v>0.5603448276</v>
      </c>
    </row>
    <row r="1377">
      <c r="A1377" s="88">
        <v>44708.0</v>
      </c>
      <c r="B1377" s="89">
        <v>2007.0</v>
      </c>
      <c r="C1377" s="89">
        <v>2.0</v>
      </c>
      <c r="D1377" s="87" t="s">
        <v>205</v>
      </c>
      <c r="E1377" s="89">
        <v>0.0</v>
      </c>
      <c r="F1377" s="89">
        <v>1.0202</v>
      </c>
      <c r="G1377" s="89">
        <v>0.57</v>
      </c>
      <c r="H1377" s="87" t="s">
        <v>227</v>
      </c>
      <c r="I1377" s="90">
        <f t="shared" si="1"/>
        <v>0.7898245614</v>
      </c>
      <c r="J1377" s="81">
        <f t="shared" si="2"/>
        <v>0.5587139777</v>
      </c>
    </row>
    <row r="1378">
      <c r="A1378" s="88">
        <v>44708.0</v>
      </c>
      <c r="B1378" s="89">
        <v>2004.0</v>
      </c>
      <c r="C1378" s="89">
        <v>1.0</v>
      </c>
      <c r="D1378" s="87" t="s">
        <v>204</v>
      </c>
      <c r="E1378" s="89">
        <v>0.0</v>
      </c>
      <c r="F1378" s="89">
        <v>0.147</v>
      </c>
      <c r="G1378" s="89">
        <v>0.082</v>
      </c>
      <c r="H1378" s="87" t="s">
        <v>227</v>
      </c>
      <c r="I1378" s="90">
        <f t="shared" si="1"/>
        <v>0.7926829268</v>
      </c>
      <c r="J1378" s="81">
        <f t="shared" si="2"/>
        <v>0.5578231293</v>
      </c>
    </row>
    <row r="1379">
      <c r="A1379" s="88">
        <v>44708.0</v>
      </c>
      <c r="B1379" s="89">
        <v>2091.0</v>
      </c>
      <c r="C1379" s="89">
        <v>2.0</v>
      </c>
      <c r="D1379" s="87" t="s">
        <v>205</v>
      </c>
      <c r="E1379" s="89">
        <v>0.0</v>
      </c>
      <c r="F1379" s="89">
        <v>1.6047</v>
      </c>
      <c r="G1379" s="89">
        <v>0.893</v>
      </c>
      <c r="H1379" s="87" t="s">
        <v>227</v>
      </c>
      <c r="I1379" s="90">
        <f t="shared" si="1"/>
        <v>0.7969764838</v>
      </c>
      <c r="J1379" s="81">
        <f t="shared" si="2"/>
        <v>0.5564903097</v>
      </c>
    </row>
    <row r="1380">
      <c r="A1380" s="88">
        <v>44708.0</v>
      </c>
      <c r="B1380" s="89">
        <v>2092.0</v>
      </c>
      <c r="C1380" s="89">
        <v>3.0</v>
      </c>
      <c r="D1380" s="87" t="s">
        <v>205</v>
      </c>
      <c r="E1380" s="89">
        <v>1.0</v>
      </c>
      <c r="F1380" s="89">
        <v>1.001</v>
      </c>
      <c r="G1380" s="89">
        <v>0.557</v>
      </c>
      <c r="H1380" s="87" t="s">
        <v>227</v>
      </c>
      <c r="I1380" s="90">
        <f t="shared" si="1"/>
        <v>0.7971274686</v>
      </c>
      <c r="J1380" s="81">
        <f t="shared" si="2"/>
        <v>0.5564435564</v>
      </c>
    </row>
    <row r="1381">
      <c r="A1381" s="88">
        <v>44708.0</v>
      </c>
      <c r="B1381" s="89">
        <v>2093.0</v>
      </c>
      <c r="C1381" s="89">
        <v>3.0</v>
      </c>
      <c r="D1381" s="87" t="s">
        <v>204</v>
      </c>
      <c r="E1381" s="89">
        <v>1.0</v>
      </c>
      <c r="F1381" s="89">
        <v>0.311</v>
      </c>
      <c r="G1381" s="89">
        <v>0.172</v>
      </c>
      <c r="H1381" s="87" t="s">
        <v>227</v>
      </c>
      <c r="I1381" s="90">
        <f t="shared" si="1"/>
        <v>0.8081395349</v>
      </c>
      <c r="J1381" s="81">
        <f t="shared" si="2"/>
        <v>0.5530546624</v>
      </c>
    </row>
    <row r="1382">
      <c r="A1382" s="88">
        <v>44708.0</v>
      </c>
      <c r="B1382" s="89">
        <v>2005.0</v>
      </c>
      <c r="C1382" s="89">
        <v>1.0</v>
      </c>
      <c r="D1382" s="87" t="s">
        <v>205</v>
      </c>
      <c r="E1382" s="89">
        <v>0.0</v>
      </c>
      <c r="F1382" s="89">
        <v>1.273</v>
      </c>
      <c r="G1382" s="89">
        <v>0.703</v>
      </c>
      <c r="H1382" s="87" t="s">
        <v>227</v>
      </c>
      <c r="I1382" s="90">
        <f t="shared" si="1"/>
        <v>0.8108108108</v>
      </c>
      <c r="J1382" s="81">
        <f t="shared" si="2"/>
        <v>0.552238806</v>
      </c>
    </row>
    <row r="1383">
      <c r="A1383" s="88">
        <v>44708.0</v>
      </c>
      <c r="B1383" s="89">
        <v>2091.0</v>
      </c>
      <c r="C1383" s="89">
        <v>3.0</v>
      </c>
      <c r="D1383" s="87" t="s">
        <v>205</v>
      </c>
      <c r="E1383" s="89">
        <v>0.0</v>
      </c>
      <c r="F1383" s="89">
        <v>0.9029</v>
      </c>
      <c r="G1383" s="89">
        <v>0.498</v>
      </c>
      <c r="H1383" s="87" t="s">
        <v>227</v>
      </c>
      <c r="I1383" s="90">
        <f t="shared" si="1"/>
        <v>0.8130522088</v>
      </c>
      <c r="J1383" s="81">
        <f t="shared" si="2"/>
        <v>0.551556097</v>
      </c>
    </row>
    <row r="1384">
      <c r="A1384" s="88">
        <v>44708.0</v>
      </c>
      <c r="B1384" s="89">
        <v>2092.0</v>
      </c>
      <c r="C1384" s="89">
        <v>3.0</v>
      </c>
      <c r="D1384" s="87" t="s">
        <v>205</v>
      </c>
      <c r="E1384" s="89">
        <v>0.0</v>
      </c>
      <c r="F1384" s="89">
        <v>1.212</v>
      </c>
      <c r="G1384" s="89">
        <v>0.668</v>
      </c>
      <c r="H1384" s="87" t="s">
        <v>227</v>
      </c>
      <c r="I1384" s="90">
        <f t="shared" si="1"/>
        <v>0.8143712575</v>
      </c>
      <c r="J1384" s="81">
        <f t="shared" si="2"/>
        <v>0.5511551155</v>
      </c>
    </row>
    <row r="1385">
      <c r="A1385" s="88">
        <v>44708.0</v>
      </c>
      <c r="B1385" s="89">
        <v>2012.0</v>
      </c>
      <c r="C1385" s="89">
        <v>3.0</v>
      </c>
      <c r="D1385" s="87" t="s">
        <v>205</v>
      </c>
      <c r="E1385" s="89">
        <v>0.0</v>
      </c>
      <c r="F1385" s="89">
        <v>0.173</v>
      </c>
      <c r="G1385" s="89">
        <v>0.095</v>
      </c>
      <c r="H1385" s="87" t="s">
        <v>227</v>
      </c>
      <c r="I1385" s="90">
        <f t="shared" si="1"/>
        <v>0.8210526316</v>
      </c>
      <c r="J1385" s="81">
        <f t="shared" si="2"/>
        <v>0.549132948</v>
      </c>
    </row>
    <row r="1386">
      <c r="A1386" s="88">
        <v>44708.0</v>
      </c>
      <c r="B1386" s="89">
        <v>2015.0</v>
      </c>
      <c r="C1386" s="89">
        <v>3.0</v>
      </c>
      <c r="D1386" s="87" t="s">
        <v>205</v>
      </c>
      <c r="E1386" s="89">
        <v>0.0</v>
      </c>
      <c r="F1386" s="89">
        <v>0.53</v>
      </c>
      <c r="G1386" s="89">
        <v>0.291</v>
      </c>
      <c r="H1386" s="87" t="s">
        <v>227</v>
      </c>
      <c r="I1386" s="90">
        <f t="shared" si="1"/>
        <v>0.8213058419</v>
      </c>
      <c r="J1386" s="81">
        <f t="shared" si="2"/>
        <v>0.5490566038</v>
      </c>
    </row>
    <row r="1387">
      <c r="A1387" s="88">
        <v>44708.0</v>
      </c>
      <c r="B1387" s="89">
        <v>2012.0</v>
      </c>
      <c r="C1387" s="89">
        <v>2.0</v>
      </c>
      <c r="D1387" s="87" t="s">
        <v>205</v>
      </c>
      <c r="E1387" s="89">
        <v>0.0</v>
      </c>
      <c r="F1387" s="89">
        <v>0.61</v>
      </c>
      <c r="G1387" s="89">
        <v>0.334</v>
      </c>
      <c r="H1387" s="87" t="s">
        <v>227</v>
      </c>
      <c r="I1387" s="90">
        <f t="shared" si="1"/>
        <v>0.8263473054</v>
      </c>
      <c r="J1387" s="81">
        <f t="shared" si="2"/>
        <v>0.5475409836</v>
      </c>
    </row>
    <row r="1388">
      <c r="A1388" s="88">
        <v>44708.0</v>
      </c>
      <c r="B1388" s="89">
        <v>2089.0</v>
      </c>
      <c r="C1388" s="89">
        <v>1.0</v>
      </c>
      <c r="D1388" s="87" t="s">
        <v>205</v>
      </c>
      <c r="E1388" s="89">
        <v>0.0</v>
      </c>
      <c r="F1388" s="89">
        <v>3.231</v>
      </c>
      <c r="G1388" s="89">
        <v>1.766</v>
      </c>
      <c r="H1388" s="87" t="s">
        <v>227</v>
      </c>
      <c r="I1388" s="90">
        <f t="shared" si="1"/>
        <v>0.8295583239</v>
      </c>
      <c r="J1388" s="81">
        <f t="shared" si="2"/>
        <v>0.5465800062</v>
      </c>
    </row>
    <row r="1389">
      <c r="A1389" s="88">
        <v>44708.0</v>
      </c>
      <c r="B1389" s="89">
        <v>2089.0</v>
      </c>
      <c r="C1389" s="89">
        <v>3.0</v>
      </c>
      <c r="D1389" s="87" t="s">
        <v>205</v>
      </c>
      <c r="E1389" s="89">
        <v>0.0</v>
      </c>
      <c r="F1389" s="89">
        <v>0.969</v>
      </c>
      <c r="G1389" s="89">
        <v>0.528</v>
      </c>
      <c r="H1389" s="87" t="s">
        <v>227</v>
      </c>
      <c r="I1389" s="90">
        <f t="shared" si="1"/>
        <v>0.8352272727</v>
      </c>
      <c r="J1389" s="81">
        <f t="shared" si="2"/>
        <v>0.5448916409</v>
      </c>
    </row>
    <row r="1390">
      <c r="A1390" s="88">
        <v>44708.0</v>
      </c>
      <c r="B1390" s="89">
        <v>2012.0</v>
      </c>
      <c r="C1390" s="89">
        <v>1.0</v>
      </c>
      <c r="D1390" s="87" t="s">
        <v>205</v>
      </c>
      <c r="E1390" s="89">
        <v>0.0</v>
      </c>
      <c r="F1390" s="89">
        <v>0.522</v>
      </c>
      <c r="G1390" s="89">
        <v>0.284</v>
      </c>
      <c r="H1390" s="87" t="s">
        <v>227</v>
      </c>
      <c r="I1390" s="90">
        <f t="shared" si="1"/>
        <v>0.838028169</v>
      </c>
      <c r="J1390" s="81">
        <f t="shared" si="2"/>
        <v>0.5440613027</v>
      </c>
    </row>
    <row r="1391">
      <c r="A1391" s="88">
        <v>44708.0</v>
      </c>
      <c r="B1391" s="89">
        <v>2091.0</v>
      </c>
      <c r="C1391" s="89">
        <v>3.0</v>
      </c>
      <c r="D1391" s="87" t="s">
        <v>204</v>
      </c>
      <c r="E1391" s="89">
        <v>1.0</v>
      </c>
      <c r="F1391" s="89">
        <v>1.1275</v>
      </c>
      <c r="G1391" s="89">
        <v>0.613</v>
      </c>
      <c r="H1391" s="87" t="s">
        <v>227</v>
      </c>
      <c r="I1391" s="90">
        <f t="shared" si="1"/>
        <v>0.839314845</v>
      </c>
      <c r="J1391" s="81">
        <f t="shared" si="2"/>
        <v>0.5436807095</v>
      </c>
    </row>
    <row r="1392">
      <c r="A1392" s="88">
        <v>44708.0</v>
      </c>
      <c r="B1392" s="89">
        <v>2005.0</v>
      </c>
      <c r="C1392" s="89">
        <v>3.0</v>
      </c>
      <c r="D1392" s="87" t="s">
        <v>205</v>
      </c>
      <c r="E1392" s="89">
        <v>0.0</v>
      </c>
      <c r="F1392" s="89">
        <v>0.563</v>
      </c>
      <c r="G1392" s="89">
        <v>0.306</v>
      </c>
      <c r="H1392" s="87" t="s">
        <v>227</v>
      </c>
      <c r="I1392" s="90">
        <f t="shared" si="1"/>
        <v>0.839869281</v>
      </c>
      <c r="J1392" s="81">
        <f t="shared" si="2"/>
        <v>0.5435168739</v>
      </c>
    </row>
    <row r="1393">
      <c r="A1393" s="88">
        <v>44708.0</v>
      </c>
      <c r="B1393" s="89">
        <v>2093.0</v>
      </c>
      <c r="C1393" s="89">
        <v>2.0</v>
      </c>
      <c r="D1393" s="87" t="s">
        <v>204</v>
      </c>
      <c r="E1393" s="89">
        <v>1.0</v>
      </c>
      <c r="F1393" s="89">
        <v>0.083</v>
      </c>
      <c r="G1393" s="89">
        <v>0.045</v>
      </c>
      <c r="H1393" s="87" t="s">
        <v>227</v>
      </c>
      <c r="I1393" s="90">
        <f t="shared" si="1"/>
        <v>0.8444444444</v>
      </c>
      <c r="J1393" s="81">
        <f t="shared" si="2"/>
        <v>0.5421686747</v>
      </c>
    </row>
    <row r="1394">
      <c r="A1394" s="88">
        <v>44708.0</v>
      </c>
      <c r="B1394" s="89">
        <v>2089.0</v>
      </c>
      <c r="C1394" s="89">
        <v>1.0</v>
      </c>
      <c r="D1394" s="87" t="s">
        <v>204</v>
      </c>
      <c r="E1394" s="89">
        <v>1.0</v>
      </c>
      <c r="F1394" s="89">
        <v>1.037</v>
      </c>
      <c r="G1394" s="89">
        <v>0.562</v>
      </c>
      <c r="H1394" s="87" t="s">
        <v>227</v>
      </c>
      <c r="I1394" s="90">
        <f t="shared" si="1"/>
        <v>0.8451957295</v>
      </c>
      <c r="J1394" s="81">
        <f t="shared" si="2"/>
        <v>0.5419479267</v>
      </c>
    </row>
    <row r="1395">
      <c r="A1395" s="88">
        <v>44708.0</v>
      </c>
      <c r="B1395" s="89">
        <v>2013.0</v>
      </c>
      <c r="C1395" s="89">
        <v>3.0</v>
      </c>
      <c r="D1395" s="87" t="s">
        <v>205</v>
      </c>
      <c r="E1395" s="89">
        <v>0.0</v>
      </c>
      <c r="F1395" s="89">
        <v>1.262</v>
      </c>
      <c r="G1395" s="89">
        <v>0.683</v>
      </c>
      <c r="H1395" s="87" t="s">
        <v>227</v>
      </c>
      <c r="I1395" s="90">
        <f t="shared" si="1"/>
        <v>0.8477306003</v>
      </c>
      <c r="J1395" s="81">
        <f t="shared" si="2"/>
        <v>0.5412044374</v>
      </c>
    </row>
    <row r="1396">
      <c r="A1396" s="88">
        <v>44708.0</v>
      </c>
      <c r="B1396" s="89">
        <v>2089.0</v>
      </c>
      <c r="C1396" s="89">
        <v>1.0</v>
      </c>
      <c r="D1396" s="87" t="s">
        <v>205</v>
      </c>
      <c r="E1396" s="89">
        <v>0.0</v>
      </c>
      <c r="F1396" s="89">
        <v>1.451</v>
      </c>
      <c r="G1396" s="89">
        <v>0.784</v>
      </c>
      <c r="H1396" s="87" t="s">
        <v>227</v>
      </c>
      <c r="I1396" s="90">
        <f t="shared" si="1"/>
        <v>0.8507653061</v>
      </c>
      <c r="J1396" s="81">
        <f t="shared" si="2"/>
        <v>0.5403170227</v>
      </c>
    </row>
    <row r="1397">
      <c r="A1397" s="88">
        <v>44708.0</v>
      </c>
      <c r="B1397" s="89">
        <v>2015.0</v>
      </c>
      <c r="C1397" s="89">
        <v>2.0</v>
      </c>
      <c r="D1397" s="87" t="s">
        <v>205</v>
      </c>
      <c r="E1397" s="89">
        <v>0.0</v>
      </c>
      <c r="F1397" s="89">
        <v>0.547</v>
      </c>
      <c r="G1397" s="89">
        <v>0.295</v>
      </c>
      <c r="H1397" s="87" t="s">
        <v>227</v>
      </c>
      <c r="I1397" s="90">
        <f t="shared" si="1"/>
        <v>0.8542372881</v>
      </c>
      <c r="J1397" s="81">
        <f t="shared" si="2"/>
        <v>0.5393053016</v>
      </c>
    </row>
    <row r="1398">
      <c r="A1398" s="88">
        <v>44708.0</v>
      </c>
      <c r="B1398" s="89">
        <v>2085.0</v>
      </c>
      <c r="C1398" s="89">
        <v>1.0</v>
      </c>
      <c r="D1398" s="87" t="s">
        <v>205</v>
      </c>
      <c r="E1398" s="89">
        <v>0.0</v>
      </c>
      <c r="F1398" s="89">
        <v>0.468</v>
      </c>
      <c r="G1398" s="89">
        <v>0.251</v>
      </c>
      <c r="H1398" s="87" t="s">
        <v>227</v>
      </c>
      <c r="I1398" s="90">
        <f t="shared" si="1"/>
        <v>0.8645418327</v>
      </c>
      <c r="J1398" s="81">
        <f t="shared" si="2"/>
        <v>0.5363247863</v>
      </c>
    </row>
    <row r="1399">
      <c r="A1399" s="88">
        <v>44708.0</v>
      </c>
      <c r="B1399" s="89">
        <v>2085.0</v>
      </c>
      <c r="C1399" s="89">
        <v>3.0</v>
      </c>
      <c r="D1399" s="87" t="s">
        <v>205</v>
      </c>
      <c r="E1399" s="89">
        <v>0.0</v>
      </c>
      <c r="F1399" s="89">
        <v>0.222</v>
      </c>
      <c r="G1399" s="89">
        <v>0.119</v>
      </c>
      <c r="H1399" s="87" t="s">
        <v>227</v>
      </c>
      <c r="I1399" s="90">
        <f t="shared" si="1"/>
        <v>0.8655462185</v>
      </c>
      <c r="J1399" s="81">
        <f t="shared" si="2"/>
        <v>0.536036036</v>
      </c>
    </row>
    <row r="1400">
      <c r="A1400" s="88">
        <v>44708.0</v>
      </c>
      <c r="B1400" s="89">
        <v>2005.0</v>
      </c>
      <c r="C1400" s="89">
        <v>2.0</v>
      </c>
      <c r="D1400" s="87" t="s">
        <v>205</v>
      </c>
      <c r="E1400" s="89">
        <v>0.0</v>
      </c>
      <c r="F1400" s="89">
        <v>0.907</v>
      </c>
      <c r="G1400" s="89">
        <v>0.485</v>
      </c>
      <c r="H1400" s="87" t="s">
        <v>227</v>
      </c>
      <c r="I1400" s="90">
        <f t="shared" si="1"/>
        <v>0.8701030928</v>
      </c>
      <c r="J1400" s="81">
        <f t="shared" si="2"/>
        <v>0.5347298787</v>
      </c>
    </row>
    <row r="1401">
      <c r="A1401" s="88">
        <v>44708.0</v>
      </c>
      <c r="B1401" s="89">
        <v>2015.0</v>
      </c>
      <c r="C1401" s="89">
        <v>1.0</v>
      </c>
      <c r="D1401" s="87" t="s">
        <v>205</v>
      </c>
      <c r="E1401" s="89">
        <v>0.0</v>
      </c>
      <c r="F1401" s="89">
        <v>0.563</v>
      </c>
      <c r="G1401" s="89">
        <v>0.301</v>
      </c>
      <c r="H1401" s="87" t="s">
        <v>227</v>
      </c>
      <c r="I1401" s="90">
        <f t="shared" si="1"/>
        <v>0.8704318937</v>
      </c>
      <c r="J1401" s="81">
        <f t="shared" si="2"/>
        <v>0.5346358792</v>
      </c>
    </row>
    <row r="1402">
      <c r="A1402" s="88">
        <v>44708.0</v>
      </c>
      <c r="B1402" s="89">
        <v>2004.0</v>
      </c>
      <c r="C1402" s="89">
        <v>3.0</v>
      </c>
      <c r="D1402" s="87" t="s">
        <v>204</v>
      </c>
      <c r="E1402" s="89">
        <v>0.0</v>
      </c>
      <c r="F1402" s="89">
        <v>0.062</v>
      </c>
      <c r="G1402" s="89">
        <v>0.033</v>
      </c>
      <c r="H1402" s="87" t="s">
        <v>227</v>
      </c>
      <c r="I1402" s="90">
        <f t="shared" si="1"/>
        <v>0.8787878788</v>
      </c>
      <c r="J1402" s="81">
        <f t="shared" si="2"/>
        <v>0.5322580645</v>
      </c>
    </row>
    <row r="1403">
      <c r="A1403" s="88">
        <v>44708.0</v>
      </c>
      <c r="B1403" s="89">
        <v>2008.0</v>
      </c>
      <c r="C1403" s="89">
        <v>1.0</v>
      </c>
      <c r="D1403" s="87" t="s">
        <v>205</v>
      </c>
      <c r="E1403" s="89">
        <v>0.0</v>
      </c>
      <c r="F1403" s="89">
        <v>0.4851</v>
      </c>
      <c r="G1403" s="89">
        <v>0.258</v>
      </c>
      <c r="H1403" s="87" t="s">
        <v>227</v>
      </c>
      <c r="I1403" s="90">
        <f t="shared" si="1"/>
        <v>0.8802325581</v>
      </c>
      <c r="J1403" s="81">
        <f t="shared" si="2"/>
        <v>0.5318491033</v>
      </c>
    </row>
    <row r="1404">
      <c r="A1404" s="88">
        <v>44708.0</v>
      </c>
      <c r="B1404" s="89">
        <v>2090.0</v>
      </c>
      <c r="C1404" s="89">
        <v>2.0</v>
      </c>
      <c r="D1404" s="87" t="s">
        <v>205</v>
      </c>
      <c r="E1404" s="89">
        <v>0.0</v>
      </c>
      <c r="F1404" s="89">
        <v>0.365</v>
      </c>
      <c r="G1404" s="89">
        <v>0.194</v>
      </c>
      <c r="H1404" s="87" t="s">
        <v>227</v>
      </c>
      <c r="I1404" s="90">
        <f t="shared" si="1"/>
        <v>0.881443299</v>
      </c>
      <c r="J1404" s="81">
        <f t="shared" si="2"/>
        <v>0.5315068493</v>
      </c>
    </row>
    <row r="1405">
      <c r="A1405" s="88">
        <v>44708.0</v>
      </c>
      <c r="B1405" s="89">
        <v>2005.0</v>
      </c>
      <c r="C1405" s="89">
        <v>3.0</v>
      </c>
      <c r="D1405" s="87" t="s">
        <v>204</v>
      </c>
      <c r="E1405" s="89">
        <v>0.0</v>
      </c>
      <c r="F1405" s="89">
        <v>0.064</v>
      </c>
      <c r="G1405" s="89">
        <v>0.034</v>
      </c>
      <c r="H1405" s="87" t="s">
        <v>227</v>
      </c>
      <c r="I1405" s="90">
        <f t="shared" si="1"/>
        <v>0.8823529412</v>
      </c>
      <c r="J1405" s="81">
        <f t="shared" si="2"/>
        <v>0.53125</v>
      </c>
    </row>
    <row r="1406">
      <c r="A1406" s="88">
        <v>44708.0</v>
      </c>
      <c r="B1406" s="89">
        <v>2007.0</v>
      </c>
      <c r="C1406" s="89">
        <v>1.0</v>
      </c>
      <c r="D1406" s="87" t="s">
        <v>204</v>
      </c>
      <c r="E1406" s="89">
        <v>1.0</v>
      </c>
      <c r="F1406" s="89">
        <v>0.3521</v>
      </c>
      <c r="G1406" s="89">
        <v>0.187</v>
      </c>
      <c r="H1406" s="87" t="s">
        <v>227</v>
      </c>
      <c r="I1406" s="90">
        <f t="shared" si="1"/>
        <v>0.8828877005</v>
      </c>
      <c r="J1406" s="81">
        <f t="shared" si="2"/>
        <v>0.5310991196</v>
      </c>
    </row>
    <row r="1407">
      <c r="A1407" s="88">
        <v>44708.0</v>
      </c>
      <c r="B1407" s="89">
        <v>2087.0</v>
      </c>
      <c r="C1407" s="89">
        <v>1.0</v>
      </c>
      <c r="D1407" s="87" t="s">
        <v>205</v>
      </c>
      <c r="E1407" s="89">
        <v>0.0</v>
      </c>
      <c r="F1407" s="89">
        <v>1.361</v>
      </c>
      <c r="G1407" s="89">
        <v>0.722</v>
      </c>
      <c r="H1407" s="87" t="s">
        <v>227</v>
      </c>
      <c r="I1407" s="90">
        <f t="shared" si="1"/>
        <v>0.8850415512</v>
      </c>
      <c r="J1407" s="81">
        <f t="shared" si="2"/>
        <v>0.5304922851</v>
      </c>
    </row>
    <row r="1408">
      <c r="A1408" s="88">
        <v>44708.0</v>
      </c>
      <c r="B1408" s="89">
        <v>2007.0</v>
      </c>
      <c r="C1408" s="89">
        <v>3.0</v>
      </c>
      <c r="D1408" s="87" t="s">
        <v>204</v>
      </c>
      <c r="E1408" s="89">
        <v>1.0</v>
      </c>
      <c r="F1408" s="89">
        <v>0.2666</v>
      </c>
      <c r="G1408" s="89">
        <v>0.141</v>
      </c>
      <c r="H1408" s="87" t="s">
        <v>227</v>
      </c>
      <c r="I1408" s="90">
        <f t="shared" si="1"/>
        <v>0.8907801418</v>
      </c>
      <c r="J1408" s="81">
        <f t="shared" si="2"/>
        <v>0.5288822206</v>
      </c>
    </row>
    <row r="1409">
      <c r="A1409" s="88">
        <v>44708.0</v>
      </c>
      <c r="B1409" s="89">
        <v>2092.0</v>
      </c>
      <c r="C1409" s="89">
        <v>2.0</v>
      </c>
      <c r="D1409" s="87" t="s">
        <v>205</v>
      </c>
      <c r="E1409" s="89">
        <v>0.0</v>
      </c>
      <c r="F1409" s="89">
        <v>0.464</v>
      </c>
      <c r="G1409" s="89">
        <v>0.245</v>
      </c>
      <c r="H1409" s="87" t="s">
        <v>227</v>
      </c>
      <c r="I1409" s="90">
        <f t="shared" si="1"/>
        <v>0.893877551</v>
      </c>
      <c r="J1409" s="81">
        <f t="shared" si="2"/>
        <v>0.5280172414</v>
      </c>
    </row>
    <row r="1410">
      <c r="A1410" s="88">
        <v>44708.0</v>
      </c>
      <c r="B1410" s="89">
        <v>2086.0</v>
      </c>
      <c r="C1410" s="89">
        <v>3.0</v>
      </c>
      <c r="D1410" s="87" t="s">
        <v>205</v>
      </c>
      <c r="E1410" s="89">
        <v>0.0</v>
      </c>
      <c r="F1410" s="89">
        <v>1.589</v>
      </c>
      <c r="G1410" s="89">
        <v>0.839</v>
      </c>
      <c r="H1410" s="87" t="s">
        <v>227</v>
      </c>
      <c r="I1410" s="90">
        <f t="shared" si="1"/>
        <v>0.8939213349</v>
      </c>
      <c r="J1410" s="81">
        <f t="shared" si="2"/>
        <v>0.5280050346</v>
      </c>
    </row>
    <row r="1411">
      <c r="A1411" s="88">
        <v>44708.0</v>
      </c>
      <c r="B1411" s="89">
        <v>2090.0</v>
      </c>
      <c r="C1411" s="89">
        <v>1.0</v>
      </c>
      <c r="D1411" s="87" t="s">
        <v>205</v>
      </c>
      <c r="E1411" s="89">
        <v>0.0</v>
      </c>
      <c r="F1411" s="89">
        <v>0.358</v>
      </c>
      <c r="G1411" s="89">
        <v>0.189</v>
      </c>
      <c r="H1411" s="87" t="s">
        <v>227</v>
      </c>
      <c r="I1411" s="90">
        <f t="shared" si="1"/>
        <v>0.8941798942</v>
      </c>
      <c r="J1411" s="81">
        <f t="shared" si="2"/>
        <v>0.5279329609</v>
      </c>
    </row>
    <row r="1412">
      <c r="A1412" s="88">
        <v>44708.0</v>
      </c>
      <c r="B1412" s="89">
        <v>2093.0</v>
      </c>
      <c r="C1412" s="89">
        <v>3.0</v>
      </c>
      <c r="D1412" s="87" t="s">
        <v>204</v>
      </c>
      <c r="E1412" s="89">
        <v>0.0</v>
      </c>
      <c r="F1412" s="89">
        <v>0.057</v>
      </c>
      <c r="G1412" s="89">
        <v>0.03</v>
      </c>
      <c r="H1412" s="87" t="s">
        <v>227</v>
      </c>
      <c r="I1412" s="90">
        <f t="shared" si="1"/>
        <v>0.9</v>
      </c>
      <c r="J1412" s="81">
        <f t="shared" si="2"/>
        <v>0.5263157895</v>
      </c>
    </row>
    <row r="1413">
      <c r="A1413" s="88">
        <v>44708.0</v>
      </c>
      <c r="B1413" s="89">
        <v>2089.0</v>
      </c>
      <c r="C1413" s="89">
        <v>2.0</v>
      </c>
      <c r="D1413" s="87" t="s">
        <v>204</v>
      </c>
      <c r="E1413" s="89">
        <v>1.0</v>
      </c>
      <c r="F1413" s="89">
        <v>0.415</v>
      </c>
      <c r="G1413" s="89">
        <v>0.218</v>
      </c>
      <c r="H1413" s="87" t="s">
        <v>227</v>
      </c>
      <c r="I1413" s="90">
        <f t="shared" si="1"/>
        <v>0.9036697248</v>
      </c>
      <c r="J1413" s="81">
        <f t="shared" si="2"/>
        <v>0.5253012048</v>
      </c>
    </row>
    <row r="1414">
      <c r="A1414" s="88">
        <v>44708.0</v>
      </c>
      <c r="B1414" s="89">
        <v>2007.0</v>
      </c>
      <c r="C1414" s="89">
        <v>2.0</v>
      </c>
      <c r="D1414" s="87" t="s">
        <v>204</v>
      </c>
      <c r="E1414" s="89">
        <v>1.0</v>
      </c>
      <c r="F1414" s="89">
        <v>0.3103</v>
      </c>
      <c r="G1414" s="89">
        <v>0.163</v>
      </c>
      <c r="H1414" s="87" t="s">
        <v>227</v>
      </c>
      <c r="I1414" s="90">
        <f t="shared" si="1"/>
        <v>0.9036809816</v>
      </c>
      <c r="J1414" s="81">
        <f t="shared" si="2"/>
        <v>0.5252980986</v>
      </c>
    </row>
    <row r="1415">
      <c r="A1415" s="88">
        <v>44708.0</v>
      </c>
      <c r="B1415" s="89">
        <v>2008.0</v>
      </c>
      <c r="C1415" s="89">
        <v>2.0</v>
      </c>
      <c r="D1415" s="87" t="s">
        <v>204</v>
      </c>
      <c r="E1415" s="89">
        <v>1.0</v>
      </c>
      <c r="F1415" s="89">
        <v>0.0229</v>
      </c>
      <c r="G1415" s="89">
        <v>0.012</v>
      </c>
      <c r="H1415" s="87" t="s">
        <v>227</v>
      </c>
      <c r="I1415" s="90">
        <f t="shared" si="1"/>
        <v>0.9083333333</v>
      </c>
      <c r="J1415" s="81">
        <f t="shared" si="2"/>
        <v>0.5240174672</v>
      </c>
    </row>
    <row r="1416">
      <c r="A1416" s="88">
        <v>44708.0</v>
      </c>
      <c r="B1416" s="89">
        <v>2085.0</v>
      </c>
      <c r="C1416" s="89">
        <v>2.0</v>
      </c>
      <c r="D1416" s="87" t="s">
        <v>205</v>
      </c>
      <c r="E1416" s="89">
        <v>0.0</v>
      </c>
      <c r="F1416" s="89">
        <v>1.258</v>
      </c>
      <c r="G1416" s="89">
        <v>0.659</v>
      </c>
      <c r="H1416" s="87" t="s">
        <v>227</v>
      </c>
      <c r="I1416" s="90">
        <f t="shared" si="1"/>
        <v>0.908952959</v>
      </c>
      <c r="J1416" s="81">
        <f t="shared" si="2"/>
        <v>0.5238473768</v>
      </c>
    </row>
    <row r="1417">
      <c r="A1417" s="88">
        <v>44708.0</v>
      </c>
      <c r="B1417" s="89">
        <v>1478.0</v>
      </c>
      <c r="C1417" s="89">
        <v>3.0</v>
      </c>
      <c r="D1417" s="87" t="s">
        <v>205</v>
      </c>
      <c r="E1417" s="89">
        <v>0.0</v>
      </c>
      <c r="F1417" s="89">
        <v>1.22</v>
      </c>
      <c r="G1417" s="89">
        <v>0.639</v>
      </c>
      <c r="H1417" s="87" t="s">
        <v>227</v>
      </c>
      <c r="I1417" s="90">
        <f t="shared" si="1"/>
        <v>0.9092331768</v>
      </c>
      <c r="J1417" s="81">
        <f t="shared" si="2"/>
        <v>0.5237704918</v>
      </c>
    </row>
    <row r="1418">
      <c r="A1418" s="88">
        <v>44708.0</v>
      </c>
      <c r="B1418" s="89">
        <v>2008.0</v>
      </c>
      <c r="C1418" s="89">
        <v>2.0</v>
      </c>
      <c r="D1418" s="87" t="s">
        <v>205</v>
      </c>
      <c r="E1418" s="89">
        <v>0.0</v>
      </c>
      <c r="F1418" s="89">
        <v>0.4013</v>
      </c>
      <c r="G1418" s="89">
        <v>0.21</v>
      </c>
      <c r="H1418" s="87" t="s">
        <v>227</v>
      </c>
      <c r="I1418" s="90">
        <f t="shared" si="1"/>
        <v>0.910952381</v>
      </c>
      <c r="J1418" s="81">
        <f t="shared" si="2"/>
        <v>0.5232992773</v>
      </c>
    </row>
    <row r="1419">
      <c r="A1419" s="88">
        <v>44708.0</v>
      </c>
      <c r="B1419" s="89">
        <v>1478.0</v>
      </c>
      <c r="C1419" s="89">
        <v>1.0</v>
      </c>
      <c r="D1419" s="87" t="s">
        <v>205</v>
      </c>
      <c r="E1419" s="89">
        <v>0.0</v>
      </c>
      <c r="F1419" s="89">
        <v>0.52</v>
      </c>
      <c r="G1419" s="89">
        <v>0.272</v>
      </c>
      <c r="H1419" s="87" t="s">
        <v>227</v>
      </c>
      <c r="I1419" s="90">
        <f t="shared" si="1"/>
        <v>0.9117647059</v>
      </c>
      <c r="J1419" s="81">
        <f t="shared" si="2"/>
        <v>0.5230769231</v>
      </c>
    </row>
    <row r="1420">
      <c r="A1420" s="88">
        <v>44708.0</v>
      </c>
      <c r="B1420" s="89">
        <v>2086.0</v>
      </c>
      <c r="C1420" s="89">
        <v>2.0</v>
      </c>
      <c r="D1420" s="87" t="s">
        <v>205</v>
      </c>
      <c r="E1420" s="89">
        <v>0.0</v>
      </c>
      <c r="F1420" s="89">
        <v>1.382</v>
      </c>
      <c r="G1420" s="89">
        <v>0.722</v>
      </c>
      <c r="H1420" s="87" t="s">
        <v>227</v>
      </c>
      <c r="I1420" s="90">
        <f t="shared" si="1"/>
        <v>0.9141274238</v>
      </c>
      <c r="J1420" s="81">
        <f t="shared" si="2"/>
        <v>0.522431259</v>
      </c>
    </row>
    <row r="1421">
      <c r="A1421" s="88">
        <v>44708.0</v>
      </c>
      <c r="B1421" s="89">
        <v>2090.0</v>
      </c>
      <c r="C1421" s="89">
        <v>3.0</v>
      </c>
      <c r="D1421" s="87" t="s">
        <v>205</v>
      </c>
      <c r="E1421" s="89">
        <v>0.0</v>
      </c>
      <c r="F1421" s="89">
        <v>0.385</v>
      </c>
      <c r="G1421" s="89">
        <v>0.201</v>
      </c>
      <c r="H1421" s="87" t="s">
        <v>227</v>
      </c>
      <c r="I1421" s="90">
        <f t="shared" si="1"/>
        <v>0.9154228856</v>
      </c>
      <c r="J1421" s="81">
        <f t="shared" si="2"/>
        <v>0.5220779221</v>
      </c>
    </row>
    <row r="1422">
      <c r="A1422" s="88">
        <v>44708.0</v>
      </c>
      <c r="B1422" s="89">
        <v>2008.0</v>
      </c>
      <c r="C1422" s="89">
        <v>1.0</v>
      </c>
      <c r="D1422" s="87" t="s">
        <v>204</v>
      </c>
      <c r="E1422" s="89">
        <v>1.0</v>
      </c>
      <c r="F1422" s="89">
        <v>0.092</v>
      </c>
      <c r="G1422" s="89">
        <v>0.048</v>
      </c>
      <c r="H1422" s="87" t="s">
        <v>227</v>
      </c>
      <c r="I1422" s="90">
        <f t="shared" si="1"/>
        <v>0.9166666667</v>
      </c>
      <c r="J1422" s="81">
        <f t="shared" si="2"/>
        <v>0.5217391304</v>
      </c>
    </row>
    <row r="1423">
      <c r="A1423" s="88">
        <v>44708.0</v>
      </c>
      <c r="B1423" s="89">
        <v>2091.0</v>
      </c>
      <c r="C1423" s="89">
        <v>1.0</v>
      </c>
      <c r="D1423" s="87" t="s">
        <v>204</v>
      </c>
      <c r="E1423" s="89">
        <v>1.0</v>
      </c>
      <c r="F1423" s="89">
        <v>0.2953</v>
      </c>
      <c r="G1423" s="89">
        <v>0.154</v>
      </c>
      <c r="H1423" s="87" t="s">
        <v>227</v>
      </c>
      <c r="I1423" s="90">
        <f t="shared" si="1"/>
        <v>0.9175324675</v>
      </c>
      <c r="J1423" s="81">
        <f t="shared" si="2"/>
        <v>0.5215035557</v>
      </c>
    </row>
    <row r="1424">
      <c r="A1424" s="88">
        <v>44708.0</v>
      </c>
      <c r="B1424" s="89">
        <v>2086.0</v>
      </c>
      <c r="C1424" s="89">
        <v>1.0</v>
      </c>
      <c r="D1424" s="87" t="s">
        <v>205</v>
      </c>
      <c r="E1424" s="89">
        <v>0.0</v>
      </c>
      <c r="F1424" s="89">
        <v>1.813</v>
      </c>
      <c r="G1424" s="89">
        <v>0.942</v>
      </c>
      <c r="H1424" s="87" t="s">
        <v>227</v>
      </c>
      <c r="I1424" s="90">
        <f t="shared" si="1"/>
        <v>0.9246284501</v>
      </c>
      <c r="J1424" s="81">
        <f t="shared" si="2"/>
        <v>0.5195808053</v>
      </c>
    </row>
    <row r="1425">
      <c r="A1425" s="88">
        <v>44708.0</v>
      </c>
      <c r="B1425" s="89">
        <v>2006.0</v>
      </c>
      <c r="C1425" s="89">
        <v>1.0</v>
      </c>
      <c r="D1425" s="87" t="s">
        <v>205</v>
      </c>
      <c r="E1425" s="89">
        <v>0.0</v>
      </c>
      <c r="F1425" s="89">
        <v>0.4911</v>
      </c>
      <c r="G1425" s="89">
        <v>0.255</v>
      </c>
      <c r="H1425" s="87" t="s">
        <v>227</v>
      </c>
      <c r="I1425" s="90">
        <f t="shared" si="1"/>
        <v>0.9258823529</v>
      </c>
      <c r="J1425" s="81">
        <f t="shared" si="2"/>
        <v>0.5192425168</v>
      </c>
    </row>
    <row r="1426">
      <c r="A1426" s="88">
        <v>44708.0</v>
      </c>
      <c r="B1426" s="89">
        <v>2006.0</v>
      </c>
      <c r="C1426" s="89">
        <v>2.0</v>
      </c>
      <c r="D1426" s="87" t="s">
        <v>205</v>
      </c>
      <c r="E1426" s="89">
        <v>0.0</v>
      </c>
      <c r="F1426" s="89">
        <v>0.6116</v>
      </c>
      <c r="G1426" s="89">
        <v>0.317</v>
      </c>
      <c r="H1426" s="87" t="s">
        <v>227</v>
      </c>
      <c r="I1426" s="90">
        <f t="shared" si="1"/>
        <v>0.9293375394</v>
      </c>
      <c r="J1426" s="81">
        <f t="shared" si="2"/>
        <v>0.5183126226</v>
      </c>
    </row>
    <row r="1427">
      <c r="A1427" s="88">
        <v>44708.0</v>
      </c>
      <c r="B1427" s="89">
        <v>2085.0</v>
      </c>
      <c r="C1427" s="89">
        <v>3.0</v>
      </c>
      <c r="D1427" s="87" t="s">
        <v>204</v>
      </c>
      <c r="E1427" s="89">
        <v>0.0</v>
      </c>
      <c r="F1427" s="89">
        <v>0.031</v>
      </c>
      <c r="G1427" s="89">
        <v>0.016</v>
      </c>
      <c r="H1427" s="87" t="s">
        <v>227</v>
      </c>
      <c r="I1427" s="90">
        <f t="shared" si="1"/>
        <v>0.9375</v>
      </c>
      <c r="J1427" s="81">
        <f t="shared" si="2"/>
        <v>0.5161290323</v>
      </c>
    </row>
    <row r="1428">
      <c r="A1428" s="88">
        <v>44708.0</v>
      </c>
      <c r="B1428" s="89">
        <v>1478.0</v>
      </c>
      <c r="C1428" s="89">
        <v>2.0</v>
      </c>
      <c r="D1428" s="87" t="s">
        <v>205</v>
      </c>
      <c r="E1428" s="89">
        <v>0.0</v>
      </c>
      <c r="F1428" s="89">
        <v>0.735</v>
      </c>
      <c r="G1428" s="89">
        <v>0.379</v>
      </c>
      <c r="H1428" s="87" t="s">
        <v>227</v>
      </c>
      <c r="I1428" s="90">
        <f t="shared" si="1"/>
        <v>0.9393139842</v>
      </c>
      <c r="J1428" s="81">
        <f t="shared" si="2"/>
        <v>0.5156462585</v>
      </c>
    </row>
    <row r="1429">
      <c r="A1429" s="88">
        <v>44708.0</v>
      </c>
      <c r="B1429" s="89">
        <v>2005.0</v>
      </c>
      <c r="C1429" s="89">
        <v>2.0</v>
      </c>
      <c r="D1429" s="87" t="s">
        <v>204</v>
      </c>
      <c r="E1429" s="89">
        <v>0.0</v>
      </c>
      <c r="F1429" s="89">
        <v>0.135</v>
      </c>
      <c r="G1429" s="89">
        <v>0.069</v>
      </c>
      <c r="H1429" s="87" t="s">
        <v>227</v>
      </c>
      <c r="I1429" s="90">
        <f t="shared" si="1"/>
        <v>0.9565217391</v>
      </c>
      <c r="J1429" s="81">
        <f t="shared" si="2"/>
        <v>0.5111111111</v>
      </c>
    </row>
    <row r="1430">
      <c r="A1430" s="88">
        <v>44708.0</v>
      </c>
      <c r="B1430" s="89">
        <v>2008.0</v>
      </c>
      <c r="C1430" s="89">
        <v>3.0</v>
      </c>
      <c r="D1430" s="87" t="s">
        <v>204</v>
      </c>
      <c r="E1430" s="89">
        <v>0.0</v>
      </c>
      <c r="F1430" s="89">
        <v>0.0412</v>
      </c>
      <c r="G1430" s="89">
        <v>0.021</v>
      </c>
      <c r="H1430" s="87" t="s">
        <v>227</v>
      </c>
      <c r="I1430" s="90">
        <f t="shared" si="1"/>
        <v>0.9619047619</v>
      </c>
      <c r="J1430" s="81">
        <f t="shared" si="2"/>
        <v>0.5097087379</v>
      </c>
    </row>
    <row r="1431">
      <c r="A1431" s="88">
        <v>44708.0</v>
      </c>
      <c r="B1431" s="89">
        <v>2012.0</v>
      </c>
      <c r="C1431" s="89">
        <v>2.0</v>
      </c>
      <c r="D1431" s="87" t="s">
        <v>204</v>
      </c>
      <c r="E1431" s="89">
        <v>0.0</v>
      </c>
      <c r="F1431" s="89">
        <v>0.055</v>
      </c>
      <c r="G1431" s="89">
        <v>0.028</v>
      </c>
      <c r="H1431" s="87" t="s">
        <v>227</v>
      </c>
      <c r="I1431" s="90">
        <f t="shared" si="1"/>
        <v>0.9642857143</v>
      </c>
      <c r="J1431" s="81">
        <f t="shared" si="2"/>
        <v>0.5090909091</v>
      </c>
    </row>
    <row r="1432">
      <c r="A1432" s="88">
        <v>44708.0</v>
      </c>
      <c r="B1432" s="89">
        <v>2005.0</v>
      </c>
      <c r="C1432" s="89">
        <v>1.0</v>
      </c>
      <c r="D1432" s="87" t="s">
        <v>204</v>
      </c>
      <c r="E1432" s="89">
        <v>0.0</v>
      </c>
      <c r="F1432" s="89">
        <v>0.111</v>
      </c>
      <c r="G1432" s="89">
        <v>0.056</v>
      </c>
      <c r="H1432" s="87" t="s">
        <v>227</v>
      </c>
      <c r="I1432" s="90">
        <f t="shared" si="1"/>
        <v>0.9821428571</v>
      </c>
      <c r="J1432" s="81">
        <f t="shared" si="2"/>
        <v>0.5045045045</v>
      </c>
    </row>
    <row r="1433">
      <c r="A1433" s="88">
        <v>44708.0</v>
      </c>
      <c r="B1433" s="89">
        <v>2013.0</v>
      </c>
      <c r="C1433" s="89">
        <v>3.0</v>
      </c>
      <c r="D1433" s="87" t="s">
        <v>204</v>
      </c>
      <c r="E1433" s="89">
        <v>1.0</v>
      </c>
      <c r="F1433" s="89">
        <v>0.1468</v>
      </c>
      <c r="G1433" s="89">
        <v>0.074</v>
      </c>
      <c r="H1433" s="87" t="s">
        <v>227</v>
      </c>
      <c r="I1433" s="90">
        <f t="shared" si="1"/>
        <v>0.9837837838</v>
      </c>
      <c r="J1433" s="81">
        <f t="shared" si="2"/>
        <v>0.5040871935</v>
      </c>
    </row>
    <row r="1434">
      <c r="A1434" s="88">
        <v>44708.0</v>
      </c>
      <c r="B1434" s="89">
        <v>2015.0</v>
      </c>
      <c r="C1434" s="89">
        <v>3.0</v>
      </c>
      <c r="D1434" s="87" t="s">
        <v>204</v>
      </c>
      <c r="E1434" s="89">
        <v>0.0</v>
      </c>
      <c r="F1434" s="89">
        <v>0.165</v>
      </c>
      <c r="G1434" s="89">
        <v>0.083</v>
      </c>
      <c r="H1434" s="87" t="s">
        <v>227</v>
      </c>
      <c r="I1434" s="90">
        <f t="shared" si="1"/>
        <v>0.9879518072</v>
      </c>
      <c r="J1434" s="81">
        <f t="shared" si="2"/>
        <v>0.503030303</v>
      </c>
    </row>
    <row r="1435">
      <c r="A1435" s="88">
        <v>44708.0</v>
      </c>
      <c r="B1435" s="89">
        <v>2004.0</v>
      </c>
      <c r="C1435" s="89">
        <v>2.0</v>
      </c>
      <c r="D1435" s="87" t="s">
        <v>204</v>
      </c>
      <c r="E1435" s="89">
        <v>0.0</v>
      </c>
      <c r="F1435" s="89">
        <v>0.225</v>
      </c>
      <c r="G1435" s="89">
        <v>0.113</v>
      </c>
      <c r="H1435" s="87" t="s">
        <v>227</v>
      </c>
      <c r="I1435" s="90">
        <f t="shared" si="1"/>
        <v>0.9911504425</v>
      </c>
      <c r="J1435" s="81">
        <f t="shared" si="2"/>
        <v>0.5022222222</v>
      </c>
    </row>
    <row r="1436">
      <c r="A1436" s="88">
        <v>44708.0</v>
      </c>
      <c r="B1436" s="89">
        <v>2091.0</v>
      </c>
      <c r="C1436" s="89">
        <v>2.0</v>
      </c>
      <c r="D1436" s="87" t="s">
        <v>204</v>
      </c>
      <c r="E1436" s="89">
        <v>1.0</v>
      </c>
      <c r="F1436" s="89">
        <v>0.2255</v>
      </c>
      <c r="G1436" s="89">
        <v>0.113</v>
      </c>
      <c r="H1436" s="87" t="s">
        <v>227</v>
      </c>
      <c r="I1436" s="90">
        <f t="shared" si="1"/>
        <v>0.9955752212</v>
      </c>
      <c r="J1436" s="81">
        <f t="shared" si="2"/>
        <v>0.5011086475</v>
      </c>
    </row>
    <row r="1437">
      <c r="A1437" s="88">
        <v>44708.0</v>
      </c>
      <c r="B1437" s="89">
        <v>2012.0</v>
      </c>
      <c r="C1437" s="89">
        <v>1.0</v>
      </c>
      <c r="D1437" s="87" t="s">
        <v>204</v>
      </c>
      <c r="E1437" s="89">
        <v>0.0</v>
      </c>
      <c r="F1437" s="89">
        <v>0.058</v>
      </c>
      <c r="G1437" s="89">
        <v>0.029</v>
      </c>
      <c r="H1437" s="87" t="s">
        <v>227</v>
      </c>
      <c r="I1437" s="90">
        <f t="shared" si="1"/>
        <v>1</v>
      </c>
      <c r="J1437" s="81">
        <f t="shared" si="2"/>
        <v>0.5</v>
      </c>
    </row>
    <row r="1438">
      <c r="A1438" s="88">
        <v>44708.0</v>
      </c>
      <c r="B1438" s="89">
        <v>2087.0</v>
      </c>
      <c r="C1438" s="89">
        <v>2.0</v>
      </c>
      <c r="D1438" s="87" t="s">
        <v>204</v>
      </c>
      <c r="E1438" s="89">
        <v>0.0</v>
      </c>
      <c r="F1438" s="89">
        <v>0.062</v>
      </c>
      <c r="G1438" s="89">
        <v>0.031</v>
      </c>
      <c r="H1438" s="87" t="s">
        <v>227</v>
      </c>
      <c r="I1438" s="90">
        <f t="shared" si="1"/>
        <v>1</v>
      </c>
      <c r="J1438" s="81">
        <f t="shared" si="2"/>
        <v>0.5</v>
      </c>
    </row>
    <row r="1439">
      <c r="A1439" s="88">
        <v>44708.0</v>
      </c>
      <c r="B1439" s="89">
        <v>2088.0</v>
      </c>
      <c r="C1439" s="89">
        <v>1.0</v>
      </c>
      <c r="D1439" s="87" t="s">
        <v>205</v>
      </c>
      <c r="E1439" s="89">
        <v>0.0</v>
      </c>
      <c r="F1439" s="89">
        <v>0.4426</v>
      </c>
      <c r="G1439" s="89">
        <v>0.22</v>
      </c>
      <c r="H1439" s="87" t="s">
        <v>227</v>
      </c>
      <c r="I1439" s="90">
        <f t="shared" si="1"/>
        <v>1.011818182</v>
      </c>
      <c r="J1439" s="81">
        <f t="shared" si="2"/>
        <v>0.4970628107</v>
      </c>
    </row>
    <row r="1440">
      <c r="A1440" s="88">
        <v>44708.0</v>
      </c>
      <c r="B1440" s="89">
        <v>2086.0</v>
      </c>
      <c r="C1440" s="89">
        <v>3.0</v>
      </c>
      <c r="D1440" s="87" t="s">
        <v>204</v>
      </c>
      <c r="E1440" s="89">
        <v>0.0</v>
      </c>
      <c r="F1440" s="89">
        <v>0.226</v>
      </c>
      <c r="G1440" s="89">
        <v>0.112</v>
      </c>
      <c r="H1440" s="87" t="s">
        <v>227</v>
      </c>
      <c r="I1440" s="90">
        <f t="shared" si="1"/>
        <v>1.017857143</v>
      </c>
      <c r="J1440" s="81">
        <f t="shared" si="2"/>
        <v>0.4955752212</v>
      </c>
    </row>
    <row r="1441">
      <c r="A1441" s="88">
        <v>44708.0</v>
      </c>
      <c r="B1441" s="89">
        <v>2013.0</v>
      </c>
      <c r="C1441" s="89">
        <v>3.0</v>
      </c>
      <c r="D1441" s="87" t="s">
        <v>204</v>
      </c>
      <c r="E1441" s="89">
        <v>0.0</v>
      </c>
      <c r="F1441" s="89">
        <v>0.2913</v>
      </c>
      <c r="G1441" s="89">
        <v>0.144</v>
      </c>
      <c r="H1441" s="87" t="s">
        <v>227</v>
      </c>
      <c r="I1441" s="90">
        <f t="shared" si="1"/>
        <v>1.022916667</v>
      </c>
      <c r="J1441" s="81">
        <f t="shared" si="2"/>
        <v>0.4943357364</v>
      </c>
    </row>
    <row r="1442">
      <c r="A1442" s="88">
        <v>44708.0</v>
      </c>
      <c r="B1442" s="89">
        <v>2088.0</v>
      </c>
      <c r="C1442" s="89">
        <v>2.0</v>
      </c>
      <c r="D1442" s="87" t="s">
        <v>204</v>
      </c>
      <c r="E1442" s="89">
        <v>1.0</v>
      </c>
      <c r="F1442" s="89">
        <v>0.404</v>
      </c>
      <c r="G1442" s="89">
        <v>0.199</v>
      </c>
      <c r="H1442" s="87" t="s">
        <v>227</v>
      </c>
      <c r="I1442" s="90">
        <f t="shared" si="1"/>
        <v>1.030150754</v>
      </c>
      <c r="J1442" s="81">
        <f t="shared" si="2"/>
        <v>0.4925742574</v>
      </c>
    </row>
    <row r="1443">
      <c r="A1443" s="88">
        <v>44708.0</v>
      </c>
      <c r="B1443" s="89">
        <v>2090.0</v>
      </c>
      <c r="C1443" s="89">
        <v>2.0</v>
      </c>
      <c r="D1443" s="87" t="s">
        <v>204</v>
      </c>
      <c r="E1443" s="89">
        <v>0.0</v>
      </c>
      <c r="F1443" s="89">
        <v>0.057</v>
      </c>
      <c r="G1443" s="89">
        <v>0.028</v>
      </c>
      <c r="H1443" s="87" t="s">
        <v>227</v>
      </c>
      <c r="I1443" s="90">
        <f t="shared" si="1"/>
        <v>1.035714286</v>
      </c>
      <c r="J1443" s="81">
        <f t="shared" si="2"/>
        <v>0.4912280702</v>
      </c>
    </row>
    <row r="1444">
      <c r="A1444" s="88">
        <v>44708.0</v>
      </c>
      <c r="B1444" s="89">
        <v>2089.0</v>
      </c>
      <c r="C1444" s="89">
        <v>3.0</v>
      </c>
      <c r="D1444" s="87" t="s">
        <v>204</v>
      </c>
      <c r="E1444" s="89">
        <v>1.0</v>
      </c>
      <c r="F1444" s="89">
        <v>0.125</v>
      </c>
      <c r="G1444" s="89">
        <v>0.061</v>
      </c>
      <c r="H1444" s="87" t="s">
        <v>227</v>
      </c>
      <c r="I1444" s="90">
        <f t="shared" si="1"/>
        <v>1.049180328</v>
      </c>
      <c r="J1444" s="81">
        <f t="shared" si="2"/>
        <v>0.488</v>
      </c>
    </row>
    <row r="1445">
      <c r="A1445" s="88">
        <v>44708.0</v>
      </c>
      <c r="B1445" s="89">
        <v>2088.0</v>
      </c>
      <c r="C1445" s="89">
        <v>1.0</v>
      </c>
      <c r="D1445" s="87" t="s">
        <v>204</v>
      </c>
      <c r="E1445" s="89">
        <v>1.0</v>
      </c>
      <c r="F1445" s="89">
        <v>0.1561</v>
      </c>
      <c r="G1445" s="89">
        <v>0.076</v>
      </c>
      <c r="H1445" s="87" t="s">
        <v>227</v>
      </c>
      <c r="I1445" s="90">
        <f t="shared" si="1"/>
        <v>1.053947368</v>
      </c>
      <c r="J1445" s="81">
        <f t="shared" si="2"/>
        <v>0.4868673927</v>
      </c>
    </row>
    <row r="1446">
      <c r="A1446" s="88">
        <v>44708.0</v>
      </c>
      <c r="B1446" s="89">
        <v>2083.0</v>
      </c>
      <c r="C1446" s="89">
        <v>2.0</v>
      </c>
      <c r="D1446" s="87" t="s">
        <v>205</v>
      </c>
      <c r="E1446" s="89">
        <v>0.0</v>
      </c>
      <c r="F1446" s="89">
        <v>1.9536</v>
      </c>
      <c r="G1446" s="89">
        <v>0.95</v>
      </c>
      <c r="H1446" s="87" t="s">
        <v>227</v>
      </c>
      <c r="I1446" s="90">
        <f t="shared" si="1"/>
        <v>1.056421053</v>
      </c>
      <c r="J1446" s="81">
        <f t="shared" si="2"/>
        <v>0.4862817363</v>
      </c>
    </row>
    <row r="1447">
      <c r="A1447" s="88">
        <v>44708.0</v>
      </c>
      <c r="B1447" s="89">
        <v>2086.0</v>
      </c>
      <c r="C1447" s="89">
        <v>1.0</v>
      </c>
      <c r="D1447" s="87" t="s">
        <v>204</v>
      </c>
      <c r="E1447" s="89">
        <v>0.0</v>
      </c>
      <c r="F1447" s="89">
        <v>0.175</v>
      </c>
      <c r="G1447" s="89">
        <v>0.085</v>
      </c>
      <c r="H1447" s="87" t="s">
        <v>227</v>
      </c>
      <c r="I1447" s="90">
        <f t="shared" si="1"/>
        <v>1.058823529</v>
      </c>
      <c r="J1447" s="81">
        <f t="shared" si="2"/>
        <v>0.4857142857</v>
      </c>
    </row>
    <row r="1448">
      <c r="A1448" s="88">
        <v>44708.0</v>
      </c>
      <c r="B1448" s="89">
        <v>2088.0</v>
      </c>
      <c r="C1448" s="89">
        <v>3.0</v>
      </c>
      <c r="D1448" s="87" t="s">
        <v>205</v>
      </c>
      <c r="E1448" s="89">
        <v>0.0</v>
      </c>
      <c r="F1448" s="89">
        <v>1.05</v>
      </c>
      <c r="G1448" s="89">
        <v>0.509</v>
      </c>
      <c r="H1448" s="87" t="s">
        <v>227</v>
      </c>
      <c r="I1448" s="90">
        <f t="shared" si="1"/>
        <v>1.062868369</v>
      </c>
      <c r="J1448" s="81">
        <f t="shared" si="2"/>
        <v>0.4847619048</v>
      </c>
    </row>
    <row r="1449">
      <c r="A1449" s="88">
        <v>44708.0</v>
      </c>
      <c r="B1449" s="89">
        <v>2015.0</v>
      </c>
      <c r="C1449" s="89">
        <v>1.0</v>
      </c>
      <c r="D1449" s="87" t="s">
        <v>204</v>
      </c>
      <c r="E1449" s="89">
        <v>0.0</v>
      </c>
      <c r="F1449" s="89">
        <v>0.143</v>
      </c>
      <c r="G1449" s="89">
        <v>0.069</v>
      </c>
      <c r="H1449" s="87" t="s">
        <v>227</v>
      </c>
      <c r="I1449" s="90">
        <f t="shared" si="1"/>
        <v>1.072463768</v>
      </c>
      <c r="J1449" s="81">
        <f t="shared" si="2"/>
        <v>0.4825174825</v>
      </c>
    </row>
    <row r="1450">
      <c r="A1450" s="88">
        <v>44708.0</v>
      </c>
      <c r="B1450" s="89">
        <v>2092.0</v>
      </c>
      <c r="C1450" s="89">
        <v>1.0</v>
      </c>
      <c r="D1450" s="87" t="s">
        <v>204</v>
      </c>
      <c r="E1450" s="89">
        <v>1.0</v>
      </c>
      <c r="F1450" s="89">
        <v>0.253</v>
      </c>
      <c r="G1450" s="89">
        <v>0.122</v>
      </c>
      <c r="H1450" s="87" t="s">
        <v>227</v>
      </c>
      <c r="I1450" s="90">
        <f t="shared" si="1"/>
        <v>1.073770492</v>
      </c>
      <c r="J1450" s="81">
        <f t="shared" si="2"/>
        <v>0.4822134387</v>
      </c>
    </row>
    <row r="1451">
      <c r="A1451" s="88">
        <v>44708.0</v>
      </c>
      <c r="B1451" s="89">
        <v>2093.0</v>
      </c>
      <c r="C1451" s="89">
        <v>2.0</v>
      </c>
      <c r="D1451" s="87" t="s">
        <v>204</v>
      </c>
      <c r="E1451" s="89">
        <v>0.0</v>
      </c>
      <c r="F1451" s="89">
        <v>0.056</v>
      </c>
      <c r="G1451" s="89">
        <v>0.027</v>
      </c>
      <c r="H1451" s="87" t="s">
        <v>227</v>
      </c>
      <c r="I1451" s="90">
        <f t="shared" si="1"/>
        <v>1.074074074</v>
      </c>
      <c r="J1451" s="81">
        <f t="shared" si="2"/>
        <v>0.4821428571</v>
      </c>
    </row>
    <row r="1452">
      <c r="A1452" s="88">
        <v>44708.0</v>
      </c>
      <c r="B1452" s="89">
        <v>2088.0</v>
      </c>
      <c r="C1452" s="89">
        <v>3.0</v>
      </c>
      <c r="D1452" s="87" t="s">
        <v>204</v>
      </c>
      <c r="E1452" s="89">
        <v>1.0</v>
      </c>
      <c r="F1452" s="89">
        <v>0.1746</v>
      </c>
      <c r="G1452" s="89">
        <v>0.084</v>
      </c>
      <c r="H1452" s="87" t="s">
        <v>227</v>
      </c>
      <c r="I1452" s="90">
        <f t="shared" si="1"/>
        <v>1.078571429</v>
      </c>
      <c r="J1452" s="81">
        <f t="shared" si="2"/>
        <v>0.4810996564</v>
      </c>
    </row>
    <row r="1453">
      <c r="A1453" s="88">
        <v>44708.0</v>
      </c>
      <c r="B1453" s="89">
        <v>2007.0</v>
      </c>
      <c r="C1453" s="89">
        <v>1.0</v>
      </c>
      <c r="D1453" s="87" t="s">
        <v>204</v>
      </c>
      <c r="E1453" s="89">
        <v>0.0</v>
      </c>
      <c r="F1453" s="89">
        <v>0.1481</v>
      </c>
      <c r="G1453" s="89">
        <v>0.071</v>
      </c>
      <c r="H1453" s="87" t="s">
        <v>227</v>
      </c>
      <c r="I1453" s="90">
        <f t="shared" si="1"/>
        <v>1.085915493</v>
      </c>
      <c r="J1453" s="81">
        <f t="shared" si="2"/>
        <v>0.4794058069</v>
      </c>
    </row>
    <row r="1454">
      <c r="A1454" s="88">
        <v>44708.0</v>
      </c>
      <c r="B1454" s="89">
        <v>2090.0</v>
      </c>
      <c r="C1454" s="89">
        <v>3.0</v>
      </c>
      <c r="D1454" s="87" t="s">
        <v>204</v>
      </c>
      <c r="E1454" s="89">
        <v>0.0</v>
      </c>
      <c r="F1454" s="89">
        <v>0.046</v>
      </c>
      <c r="G1454" s="89">
        <v>0.022</v>
      </c>
      <c r="H1454" s="87" t="s">
        <v>227</v>
      </c>
      <c r="I1454" s="90">
        <f t="shared" si="1"/>
        <v>1.090909091</v>
      </c>
      <c r="J1454" s="81">
        <f t="shared" si="2"/>
        <v>0.4782608696</v>
      </c>
    </row>
    <row r="1455">
      <c r="A1455" s="88">
        <v>44708.0</v>
      </c>
      <c r="B1455" s="89">
        <v>2007.0</v>
      </c>
      <c r="C1455" s="89">
        <v>3.0</v>
      </c>
      <c r="D1455" s="87" t="s">
        <v>204</v>
      </c>
      <c r="E1455" s="89">
        <v>0.0</v>
      </c>
      <c r="F1455" s="89">
        <v>0.133</v>
      </c>
      <c r="G1455" s="89">
        <v>0.063</v>
      </c>
      <c r="H1455" s="87" t="s">
        <v>227</v>
      </c>
      <c r="I1455" s="90">
        <f t="shared" si="1"/>
        <v>1.111111111</v>
      </c>
      <c r="J1455" s="81">
        <f t="shared" si="2"/>
        <v>0.4736842105</v>
      </c>
    </row>
    <row r="1456">
      <c r="A1456" s="88">
        <v>44708.0</v>
      </c>
      <c r="B1456" s="89">
        <v>2092.0</v>
      </c>
      <c r="C1456" s="89">
        <v>3.0</v>
      </c>
      <c r="D1456" s="87" t="s">
        <v>204</v>
      </c>
      <c r="E1456" s="89">
        <v>1.0</v>
      </c>
      <c r="F1456" s="89">
        <v>0.167</v>
      </c>
      <c r="G1456" s="89">
        <v>0.079</v>
      </c>
      <c r="H1456" s="87" t="s">
        <v>227</v>
      </c>
      <c r="I1456" s="90">
        <f t="shared" si="1"/>
        <v>1.113924051</v>
      </c>
      <c r="J1456" s="81">
        <f t="shared" si="2"/>
        <v>0.4730538922</v>
      </c>
    </row>
    <row r="1457">
      <c r="A1457" s="88">
        <v>44708.0</v>
      </c>
      <c r="B1457" s="89">
        <v>2086.0</v>
      </c>
      <c r="C1457" s="89">
        <v>2.0</v>
      </c>
      <c r="D1457" s="87" t="s">
        <v>204</v>
      </c>
      <c r="E1457" s="89">
        <v>0.0</v>
      </c>
      <c r="F1457" s="89">
        <v>0.165</v>
      </c>
      <c r="G1457" s="89">
        <v>0.078</v>
      </c>
      <c r="H1457" s="87" t="s">
        <v>227</v>
      </c>
      <c r="I1457" s="90">
        <f t="shared" si="1"/>
        <v>1.115384615</v>
      </c>
      <c r="J1457" s="81">
        <f t="shared" si="2"/>
        <v>0.4727272727</v>
      </c>
    </row>
    <row r="1458">
      <c r="A1458" s="88">
        <v>44708.0</v>
      </c>
      <c r="B1458" s="89">
        <v>2013.0</v>
      </c>
      <c r="C1458" s="89">
        <v>2.0</v>
      </c>
      <c r="D1458" s="87" t="s">
        <v>205</v>
      </c>
      <c r="E1458" s="89">
        <v>0.0</v>
      </c>
      <c r="F1458" s="89">
        <v>0.6964</v>
      </c>
      <c r="G1458" s="89">
        <v>0.328</v>
      </c>
      <c r="H1458" s="87" t="s">
        <v>227</v>
      </c>
      <c r="I1458" s="90">
        <f t="shared" si="1"/>
        <v>1.123170732</v>
      </c>
      <c r="J1458" s="81">
        <f t="shared" si="2"/>
        <v>0.4709936818</v>
      </c>
    </row>
    <row r="1459">
      <c r="A1459" s="88">
        <v>44708.0</v>
      </c>
      <c r="B1459" s="89">
        <v>2006.0</v>
      </c>
      <c r="C1459" s="89">
        <v>2.0</v>
      </c>
      <c r="D1459" s="87" t="s">
        <v>204</v>
      </c>
      <c r="E1459" s="89">
        <v>0.0</v>
      </c>
      <c r="F1459" s="89">
        <v>0.0574</v>
      </c>
      <c r="G1459" s="89">
        <v>0.027</v>
      </c>
      <c r="H1459" s="87" t="s">
        <v>227</v>
      </c>
      <c r="I1459" s="90">
        <f t="shared" si="1"/>
        <v>1.125925926</v>
      </c>
      <c r="J1459" s="81">
        <f t="shared" si="2"/>
        <v>0.4703832753</v>
      </c>
    </row>
    <row r="1460">
      <c r="A1460" s="88">
        <v>44708.0</v>
      </c>
      <c r="B1460" s="89">
        <v>2088.0</v>
      </c>
      <c r="C1460" s="89">
        <v>3.0</v>
      </c>
      <c r="D1460" s="87" t="s">
        <v>204</v>
      </c>
      <c r="E1460" s="89">
        <v>0.0</v>
      </c>
      <c r="F1460" s="89">
        <v>0.1516</v>
      </c>
      <c r="G1460" s="89">
        <v>0.071</v>
      </c>
      <c r="H1460" s="87" t="s">
        <v>227</v>
      </c>
      <c r="I1460" s="90">
        <f t="shared" si="1"/>
        <v>1.135211268</v>
      </c>
      <c r="J1460" s="81">
        <f t="shared" si="2"/>
        <v>0.4683377309</v>
      </c>
    </row>
    <row r="1461">
      <c r="A1461" s="88">
        <v>44708.0</v>
      </c>
      <c r="B1461" s="89">
        <v>2015.0</v>
      </c>
      <c r="C1461" s="89">
        <v>2.0</v>
      </c>
      <c r="D1461" s="87" t="s">
        <v>204</v>
      </c>
      <c r="E1461" s="89">
        <v>0.0</v>
      </c>
      <c r="F1461" s="89">
        <v>0.126</v>
      </c>
      <c r="G1461" s="89">
        <v>0.059</v>
      </c>
      <c r="H1461" s="87" t="s">
        <v>227</v>
      </c>
      <c r="I1461" s="90">
        <f t="shared" si="1"/>
        <v>1.13559322</v>
      </c>
      <c r="J1461" s="81">
        <f t="shared" si="2"/>
        <v>0.4682539683</v>
      </c>
    </row>
    <row r="1462">
      <c r="A1462" s="88">
        <v>44708.0</v>
      </c>
      <c r="B1462" s="89">
        <v>2007.0</v>
      </c>
      <c r="C1462" s="89">
        <v>2.0</v>
      </c>
      <c r="D1462" s="87" t="s">
        <v>204</v>
      </c>
      <c r="E1462" s="89">
        <v>0.0</v>
      </c>
      <c r="F1462" s="89">
        <v>0.1239</v>
      </c>
      <c r="G1462" s="89">
        <v>0.058</v>
      </c>
      <c r="H1462" s="87" t="s">
        <v>227</v>
      </c>
      <c r="I1462" s="90">
        <f t="shared" si="1"/>
        <v>1.136206897</v>
      </c>
      <c r="J1462" s="81">
        <f t="shared" si="2"/>
        <v>0.4681194512</v>
      </c>
    </row>
    <row r="1463">
      <c r="A1463" s="88">
        <v>44708.0</v>
      </c>
      <c r="B1463" s="89">
        <v>2091.0</v>
      </c>
      <c r="C1463" s="89">
        <v>1.0</v>
      </c>
      <c r="D1463" s="87" t="s">
        <v>204</v>
      </c>
      <c r="E1463" s="89">
        <v>0.0</v>
      </c>
      <c r="F1463" s="89">
        <v>0.1411</v>
      </c>
      <c r="G1463" s="89">
        <v>0.066</v>
      </c>
      <c r="H1463" s="87" t="s">
        <v>227</v>
      </c>
      <c r="I1463" s="90">
        <f t="shared" si="1"/>
        <v>1.137878788</v>
      </c>
      <c r="J1463" s="81">
        <f t="shared" si="2"/>
        <v>0.4677533664</v>
      </c>
    </row>
    <row r="1464">
      <c r="A1464" s="88">
        <v>44708.0</v>
      </c>
      <c r="B1464" s="89">
        <v>2006.0</v>
      </c>
      <c r="C1464" s="89">
        <v>1.0</v>
      </c>
      <c r="D1464" s="87" t="s">
        <v>204</v>
      </c>
      <c r="E1464" s="89">
        <v>0.0</v>
      </c>
      <c r="F1464" s="89">
        <v>0.1668</v>
      </c>
      <c r="G1464" s="89">
        <v>0.078</v>
      </c>
      <c r="H1464" s="87" t="s">
        <v>227</v>
      </c>
      <c r="I1464" s="90">
        <f t="shared" si="1"/>
        <v>1.138461538</v>
      </c>
      <c r="J1464" s="81">
        <f t="shared" si="2"/>
        <v>0.4676258993</v>
      </c>
    </row>
    <row r="1465">
      <c r="A1465" s="88">
        <v>44708.0</v>
      </c>
      <c r="B1465" s="89">
        <v>2008.0</v>
      </c>
      <c r="C1465" s="89">
        <v>2.0</v>
      </c>
      <c r="D1465" s="87" t="s">
        <v>204</v>
      </c>
      <c r="E1465" s="89">
        <v>0.0</v>
      </c>
      <c r="F1465" s="89">
        <v>0.0353</v>
      </c>
      <c r="G1465" s="89">
        <v>0.016</v>
      </c>
      <c r="H1465" s="87" t="s">
        <v>227</v>
      </c>
      <c r="I1465" s="90">
        <f t="shared" si="1"/>
        <v>1.20625</v>
      </c>
      <c r="J1465" s="81">
        <f t="shared" si="2"/>
        <v>0.4532577904</v>
      </c>
    </row>
    <row r="1466">
      <c r="A1466" s="88">
        <v>44708.0</v>
      </c>
      <c r="B1466" s="89">
        <v>2091.0</v>
      </c>
      <c r="C1466" s="89">
        <v>2.0</v>
      </c>
      <c r="D1466" s="87" t="s">
        <v>204</v>
      </c>
      <c r="E1466" s="89">
        <v>0.0</v>
      </c>
      <c r="F1466" s="89">
        <v>0.1259</v>
      </c>
      <c r="G1466" s="89">
        <v>0.057</v>
      </c>
      <c r="H1466" s="87" t="s">
        <v>227</v>
      </c>
      <c r="I1466" s="90">
        <f t="shared" si="1"/>
        <v>1.20877193</v>
      </c>
      <c r="J1466" s="81">
        <f t="shared" si="2"/>
        <v>0.4527402701</v>
      </c>
    </row>
    <row r="1467">
      <c r="A1467" s="88">
        <v>44708.0</v>
      </c>
      <c r="B1467" s="89">
        <v>1478.0</v>
      </c>
      <c r="C1467" s="89">
        <v>2.0</v>
      </c>
      <c r="D1467" s="87" t="s">
        <v>204</v>
      </c>
      <c r="E1467" s="89">
        <v>0.0</v>
      </c>
      <c r="F1467" s="89">
        <v>0.144</v>
      </c>
      <c r="G1467" s="89">
        <v>0.065</v>
      </c>
      <c r="H1467" s="87" t="s">
        <v>227</v>
      </c>
      <c r="I1467" s="90">
        <f t="shared" si="1"/>
        <v>1.215384615</v>
      </c>
      <c r="J1467" s="81">
        <f t="shared" si="2"/>
        <v>0.4513888889</v>
      </c>
    </row>
    <row r="1468">
      <c r="A1468" s="88">
        <v>44708.0</v>
      </c>
      <c r="B1468" s="89">
        <v>2008.0</v>
      </c>
      <c r="C1468" s="89">
        <v>1.0</v>
      </c>
      <c r="D1468" s="87" t="s">
        <v>204</v>
      </c>
      <c r="E1468" s="89">
        <v>0.0</v>
      </c>
      <c r="F1468" s="89">
        <v>0.191</v>
      </c>
      <c r="G1468" s="89">
        <v>0.086</v>
      </c>
      <c r="H1468" s="87" t="s">
        <v>227</v>
      </c>
      <c r="I1468" s="90">
        <f t="shared" si="1"/>
        <v>1.220930233</v>
      </c>
      <c r="J1468" s="81">
        <f t="shared" si="2"/>
        <v>0.4502617801</v>
      </c>
    </row>
    <row r="1469">
      <c r="A1469" s="88">
        <v>44708.0</v>
      </c>
      <c r="B1469" s="89">
        <v>2092.0</v>
      </c>
      <c r="C1469" s="89">
        <v>2.0</v>
      </c>
      <c r="D1469" s="87" t="s">
        <v>204</v>
      </c>
      <c r="E1469" s="89">
        <v>1.0</v>
      </c>
      <c r="F1469" s="89">
        <v>0.169</v>
      </c>
      <c r="G1469" s="89">
        <v>0.076</v>
      </c>
      <c r="H1469" s="87" t="s">
        <v>227</v>
      </c>
      <c r="I1469" s="90">
        <f t="shared" si="1"/>
        <v>1.223684211</v>
      </c>
      <c r="J1469" s="81">
        <f t="shared" si="2"/>
        <v>0.449704142</v>
      </c>
    </row>
    <row r="1470">
      <c r="A1470" s="88">
        <v>44708.0</v>
      </c>
      <c r="B1470" s="89">
        <v>2013.0</v>
      </c>
      <c r="C1470" s="89">
        <v>1.0</v>
      </c>
      <c r="D1470" s="87" t="s">
        <v>205</v>
      </c>
      <c r="E1470" s="89">
        <v>0.0</v>
      </c>
      <c r="F1470" s="89">
        <v>0.7073</v>
      </c>
      <c r="G1470" s="89">
        <v>0.318</v>
      </c>
      <c r="H1470" s="87" t="s">
        <v>227</v>
      </c>
      <c r="I1470" s="90">
        <f t="shared" si="1"/>
        <v>1.224213836</v>
      </c>
      <c r="J1470" s="81">
        <f t="shared" si="2"/>
        <v>0.4495970592</v>
      </c>
    </row>
    <row r="1471">
      <c r="A1471" s="88">
        <v>44708.0</v>
      </c>
      <c r="B1471" s="89">
        <v>2085.0</v>
      </c>
      <c r="C1471" s="89">
        <v>2.0</v>
      </c>
      <c r="D1471" s="87" t="s">
        <v>204</v>
      </c>
      <c r="E1471" s="89">
        <v>0.0</v>
      </c>
      <c r="F1471" s="89">
        <v>0.178</v>
      </c>
      <c r="G1471" s="89">
        <v>0.08</v>
      </c>
      <c r="H1471" s="87" t="s">
        <v>227</v>
      </c>
      <c r="I1471" s="90">
        <f t="shared" si="1"/>
        <v>1.225</v>
      </c>
      <c r="J1471" s="81">
        <f t="shared" si="2"/>
        <v>0.4494382022</v>
      </c>
    </row>
    <row r="1472">
      <c r="A1472" s="88">
        <v>44708.0</v>
      </c>
      <c r="B1472" s="89">
        <v>2085.0</v>
      </c>
      <c r="C1472" s="89">
        <v>1.0</v>
      </c>
      <c r="D1472" s="87" t="s">
        <v>204</v>
      </c>
      <c r="E1472" s="89">
        <v>0.0</v>
      </c>
      <c r="F1472" s="89">
        <v>0.069</v>
      </c>
      <c r="G1472" s="89">
        <v>0.031</v>
      </c>
      <c r="H1472" s="87" t="s">
        <v>227</v>
      </c>
      <c r="I1472" s="90">
        <f t="shared" si="1"/>
        <v>1.225806452</v>
      </c>
      <c r="J1472" s="81">
        <f t="shared" si="2"/>
        <v>0.4492753623</v>
      </c>
    </row>
    <row r="1473">
      <c r="A1473" s="88">
        <v>44708.0</v>
      </c>
      <c r="B1473" s="89">
        <v>2090.0</v>
      </c>
      <c r="C1473" s="89">
        <v>1.0</v>
      </c>
      <c r="D1473" s="87" t="s">
        <v>204</v>
      </c>
      <c r="E1473" s="89">
        <v>0.0</v>
      </c>
      <c r="F1473" s="89">
        <v>0.058</v>
      </c>
      <c r="G1473" s="89">
        <v>0.026</v>
      </c>
      <c r="H1473" s="87" t="s">
        <v>227</v>
      </c>
      <c r="I1473" s="90">
        <f t="shared" si="1"/>
        <v>1.230769231</v>
      </c>
      <c r="J1473" s="81">
        <f t="shared" si="2"/>
        <v>0.4482758621</v>
      </c>
    </row>
    <row r="1474">
      <c r="A1474" s="88">
        <v>44708.0</v>
      </c>
      <c r="B1474" s="89">
        <v>2089.0</v>
      </c>
      <c r="C1474" s="89">
        <v>2.0</v>
      </c>
      <c r="D1474" s="87" t="s">
        <v>204</v>
      </c>
      <c r="E1474" s="89">
        <v>0.0</v>
      </c>
      <c r="F1474" s="89">
        <v>0.442</v>
      </c>
      <c r="G1474" s="89">
        <v>0.198</v>
      </c>
      <c r="H1474" s="87" t="s">
        <v>227</v>
      </c>
      <c r="I1474" s="90">
        <f t="shared" si="1"/>
        <v>1.232323232</v>
      </c>
      <c r="J1474" s="81">
        <f t="shared" si="2"/>
        <v>0.4479638009</v>
      </c>
    </row>
    <row r="1475">
      <c r="A1475" s="88">
        <v>44708.0</v>
      </c>
      <c r="B1475" s="89">
        <v>1478.0</v>
      </c>
      <c r="C1475" s="89">
        <v>3.0</v>
      </c>
      <c r="D1475" s="87" t="s">
        <v>204</v>
      </c>
      <c r="E1475" s="89">
        <v>0.0</v>
      </c>
      <c r="F1475" s="89">
        <v>0.265</v>
      </c>
      <c r="G1475" s="89">
        <v>0.118</v>
      </c>
      <c r="H1475" s="87" t="s">
        <v>227</v>
      </c>
      <c r="I1475" s="90">
        <f t="shared" si="1"/>
        <v>1.245762712</v>
      </c>
      <c r="J1475" s="81">
        <f t="shared" si="2"/>
        <v>0.4452830189</v>
      </c>
    </row>
    <row r="1476">
      <c r="A1476" s="88">
        <v>44708.0</v>
      </c>
      <c r="B1476" s="89">
        <v>1478.0</v>
      </c>
      <c r="C1476" s="89">
        <v>1.0</v>
      </c>
      <c r="D1476" s="87" t="s">
        <v>204</v>
      </c>
      <c r="E1476" s="89">
        <v>0.0</v>
      </c>
      <c r="F1476" s="89">
        <v>0.144</v>
      </c>
      <c r="G1476" s="89">
        <v>0.064</v>
      </c>
      <c r="H1476" s="87" t="s">
        <v>227</v>
      </c>
      <c r="I1476" s="90">
        <f t="shared" si="1"/>
        <v>1.25</v>
      </c>
      <c r="J1476" s="81">
        <f t="shared" si="2"/>
        <v>0.4444444444</v>
      </c>
    </row>
    <row r="1477">
      <c r="A1477" s="88">
        <v>44708.0</v>
      </c>
      <c r="B1477" s="89">
        <v>2088.0</v>
      </c>
      <c r="C1477" s="89">
        <v>1.0</v>
      </c>
      <c r="D1477" s="87" t="s">
        <v>204</v>
      </c>
      <c r="E1477" s="89">
        <v>0.0</v>
      </c>
      <c r="F1477" s="89">
        <v>0.0587</v>
      </c>
      <c r="G1477" s="89">
        <v>0.026</v>
      </c>
      <c r="H1477" s="87" t="s">
        <v>227</v>
      </c>
      <c r="I1477" s="90">
        <f t="shared" si="1"/>
        <v>1.257692308</v>
      </c>
      <c r="J1477" s="81">
        <f t="shared" si="2"/>
        <v>0.4429301533</v>
      </c>
    </row>
    <row r="1478">
      <c r="A1478" s="88">
        <v>44708.0</v>
      </c>
      <c r="B1478" s="89">
        <v>2092.0</v>
      </c>
      <c r="C1478" s="89">
        <v>2.0</v>
      </c>
      <c r="D1478" s="87" t="s">
        <v>204</v>
      </c>
      <c r="E1478" s="89">
        <v>0.0</v>
      </c>
      <c r="F1478" s="89">
        <v>0.057</v>
      </c>
      <c r="G1478" s="89">
        <v>0.025</v>
      </c>
      <c r="H1478" s="87" t="s">
        <v>227</v>
      </c>
      <c r="I1478" s="90">
        <f t="shared" si="1"/>
        <v>1.28</v>
      </c>
      <c r="J1478" s="81">
        <f t="shared" si="2"/>
        <v>0.4385964912</v>
      </c>
    </row>
    <row r="1479">
      <c r="A1479" s="88">
        <v>44708.0</v>
      </c>
      <c r="B1479" s="89">
        <v>2091.0</v>
      </c>
      <c r="C1479" s="89">
        <v>3.0</v>
      </c>
      <c r="D1479" s="87" t="s">
        <v>204</v>
      </c>
      <c r="E1479" s="89">
        <v>0.0</v>
      </c>
      <c r="F1479" s="89">
        <v>0.0709</v>
      </c>
      <c r="G1479" s="89">
        <v>0.031</v>
      </c>
      <c r="H1479" s="87" t="s">
        <v>227</v>
      </c>
      <c r="I1479" s="90">
        <f t="shared" si="1"/>
        <v>1.287096774</v>
      </c>
      <c r="J1479" s="81">
        <f t="shared" si="2"/>
        <v>0.437235543</v>
      </c>
    </row>
    <row r="1480">
      <c r="A1480" s="88">
        <v>44708.0</v>
      </c>
      <c r="B1480" s="89">
        <v>2089.0</v>
      </c>
      <c r="C1480" s="89">
        <v>1.0</v>
      </c>
      <c r="D1480" s="87" t="s">
        <v>204</v>
      </c>
      <c r="E1480" s="89">
        <v>0.0</v>
      </c>
      <c r="F1480" s="89">
        <v>0.205</v>
      </c>
      <c r="G1480" s="89">
        <v>0.089</v>
      </c>
      <c r="H1480" s="87" t="s">
        <v>227</v>
      </c>
      <c r="I1480" s="90">
        <f t="shared" si="1"/>
        <v>1.303370787</v>
      </c>
      <c r="J1480" s="81">
        <f t="shared" si="2"/>
        <v>0.4341463415</v>
      </c>
    </row>
    <row r="1481">
      <c r="A1481" s="88">
        <v>44708.0</v>
      </c>
      <c r="B1481" s="89">
        <v>2087.0</v>
      </c>
      <c r="C1481" s="89">
        <v>1.0</v>
      </c>
      <c r="D1481" s="87" t="s">
        <v>204</v>
      </c>
      <c r="E1481" s="89">
        <v>0.0</v>
      </c>
      <c r="F1481" s="89">
        <v>0.44</v>
      </c>
      <c r="G1481" s="89">
        <v>0.19</v>
      </c>
      <c r="H1481" s="87" t="s">
        <v>227</v>
      </c>
      <c r="I1481" s="90">
        <f t="shared" si="1"/>
        <v>1.315789474</v>
      </c>
      <c r="J1481" s="81">
        <f t="shared" si="2"/>
        <v>0.4318181818</v>
      </c>
    </row>
    <row r="1482">
      <c r="A1482" s="88">
        <v>44708.0</v>
      </c>
      <c r="B1482" s="89">
        <v>2089.0</v>
      </c>
      <c r="C1482" s="89">
        <v>3.0</v>
      </c>
      <c r="D1482" s="87" t="s">
        <v>204</v>
      </c>
      <c r="E1482" s="89">
        <v>0.0</v>
      </c>
      <c r="F1482" s="89">
        <v>0.095</v>
      </c>
      <c r="G1482" s="89">
        <v>0.041</v>
      </c>
      <c r="H1482" s="87" t="s">
        <v>227</v>
      </c>
      <c r="I1482" s="90">
        <f t="shared" si="1"/>
        <v>1.317073171</v>
      </c>
      <c r="J1482" s="81">
        <f t="shared" si="2"/>
        <v>0.4315789474</v>
      </c>
    </row>
    <row r="1483">
      <c r="A1483" s="88">
        <v>44708.0</v>
      </c>
      <c r="B1483" s="89">
        <v>2092.0</v>
      </c>
      <c r="C1483" s="89">
        <v>3.0</v>
      </c>
      <c r="D1483" s="87" t="s">
        <v>204</v>
      </c>
      <c r="E1483" s="89">
        <v>0.0</v>
      </c>
      <c r="F1483" s="89">
        <v>0.075</v>
      </c>
      <c r="G1483" s="89">
        <v>0.032</v>
      </c>
      <c r="H1483" s="87" t="s">
        <v>227</v>
      </c>
      <c r="I1483" s="90">
        <f t="shared" si="1"/>
        <v>1.34375</v>
      </c>
      <c r="J1483" s="81">
        <f t="shared" si="2"/>
        <v>0.4266666667</v>
      </c>
    </row>
    <row r="1484">
      <c r="A1484" s="88">
        <v>44708.0</v>
      </c>
      <c r="B1484" s="89">
        <v>2088.0</v>
      </c>
      <c r="C1484" s="89">
        <v>2.0</v>
      </c>
      <c r="D1484" s="87" t="s">
        <v>204</v>
      </c>
      <c r="E1484" s="89">
        <v>0.0</v>
      </c>
      <c r="F1484" s="89">
        <v>0.3688</v>
      </c>
      <c r="G1484" s="89">
        <v>0.157</v>
      </c>
      <c r="H1484" s="87" t="s">
        <v>227</v>
      </c>
      <c r="I1484" s="90">
        <f t="shared" si="1"/>
        <v>1.349044586</v>
      </c>
      <c r="J1484" s="81">
        <f t="shared" si="2"/>
        <v>0.4257049892</v>
      </c>
    </row>
    <row r="1485">
      <c r="A1485" s="88">
        <v>44708.0</v>
      </c>
      <c r="B1485" s="89">
        <v>2013.0</v>
      </c>
      <c r="C1485" s="89">
        <v>2.0</v>
      </c>
      <c r="D1485" s="87" t="s">
        <v>204</v>
      </c>
      <c r="E1485" s="89">
        <v>0.0</v>
      </c>
      <c r="F1485" s="89">
        <v>0.2469</v>
      </c>
      <c r="G1485" s="89">
        <v>0.103</v>
      </c>
      <c r="H1485" s="87" t="s">
        <v>227</v>
      </c>
      <c r="I1485" s="90">
        <f t="shared" si="1"/>
        <v>1.397087379</v>
      </c>
      <c r="J1485" s="81">
        <f t="shared" si="2"/>
        <v>0.4171729445</v>
      </c>
    </row>
    <row r="1486">
      <c r="A1486" s="88">
        <v>44708.0</v>
      </c>
      <c r="B1486" s="89">
        <v>2013.0</v>
      </c>
      <c r="C1486" s="89">
        <v>1.0</v>
      </c>
      <c r="D1486" s="87" t="s">
        <v>204</v>
      </c>
      <c r="E1486" s="89">
        <v>0.0</v>
      </c>
      <c r="F1486" s="89">
        <v>0.1615</v>
      </c>
      <c r="G1486" s="89">
        <v>0.062</v>
      </c>
      <c r="H1486" s="87" t="s">
        <v>227</v>
      </c>
      <c r="I1486" s="90">
        <f t="shared" si="1"/>
        <v>1.60483871</v>
      </c>
      <c r="J1486" s="81">
        <f t="shared" si="2"/>
        <v>0.3839009288</v>
      </c>
    </row>
    <row r="1487">
      <c r="A1487" s="82">
        <v>44769.0</v>
      </c>
      <c r="B1487" s="66">
        <v>2380.0</v>
      </c>
      <c r="C1487" s="66">
        <v>1.0</v>
      </c>
      <c r="D1487" s="66" t="s">
        <v>205</v>
      </c>
      <c r="E1487" s="66">
        <v>1.0</v>
      </c>
      <c r="F1487" s="66">
        <v>0.591</v>
      </c>
      <c r="G1487" s="66">
        <v>0.378</v>
      </c>
    </row>
    <row r="1488">
      <c r="A1488" s="82">
        <v>44769.0</v>
      </c>
      <c r="B1488" s="66">
        <v>2009.0</v>
      </c>
      <c r="C1488" s="66">
        <v>2.0</v>
      </c>
      <c r="D1488" s="66" t="s">
        <v>205</v>
      </c>
      <c r="E1488" s="66">
        <v>0.0</v>
      </c>
      <c r="F1488" s="66">
        <v>1.174</v>
      </c>
      <c r="G1488" s="66">
        <v>0.706</v>
      </c>
      <c r="H1488" s="66" t="s">
        <v>236</v>
      </c>
      <c r="I1488" s="81">
        <f t="shared" ref="I1488:I1611" si="3">((F1488-G1488)/G1488)</f>
        <v>0.6628895184</v>
      </c>
      <c r="J1488" s="81">
        <f t="shared" ref="J1488:J1611" si="4">G1488/F1488</f>
        <v>0.601362862</v>
      </c>
    </row>
    <row r="1489">
      <c r="A1489" s="82">
        <v>44769.0</v>
      </c>
      <c r="B1489" s="66">
        <v>2009.0</v>
      </c>
      <c r="C1489" s="66">
        <v>2.0</v>
      </c>
      <c r="D1489" s="66" t="s">
        <v>204</v>
      </c>
      <c r="E1489" s="66">
        <v>0.0</v>
      </c>
      <c r="F1489" s="66">
        <v>0.138</v>
      </c>
      <c r="G1489" s="66">
        <v>0.085</v>
      </c>
      <c r="H1489" s="66" t="s">
        <v>236</v>
      </c>
      <c r="I1489" s="81">
        <f t="shared" si="3"/>
        <v>0.6235294118</v>
      </c>
      <c r="J1489" s="81">
        <f t="shared" si="4"/>
        <v>0.615942029</v>
      </c>
    </row>
    <row r="1490">
      <c r="A1490" s="82">
        <v>44769.0</v>
      </c>
      <c r="B1490" s="66">
        <v>2367.0</v>
      </c>
      <c r="C1490" s="66">
        <v>2.0</v>
      </c>
      <c r="D1490" s="66" t="s">
        <v>205</v>
      </c>
      <c r="E1490" s="66">
        <v>0.0</v>
      </c>
      <c r="F1490" s="66">
        <v>1.196</v>
      </c>
      <c r="G1490" s="66">
        <v>0.68</v>
      </c>
      <c r="H1490" s="66" t="s">
        <v>236</v>
      </c>
      <c r="I1490" s="81">
        <f t="shared" si="3"/>
        <v>0.7588235294</v>
      </c>
      <c r="J1490" s="81">
        <f t="shared" si="4"/>
        <v>0.5685618729</v>
      </c>
    </row>
    <row r="1491">
      <c r="A1491" s="82">
        <v>44769.0</v>
      </c>
      <c r="B1491" s="66">
        <v>2367.0</v>
      </c>
      <c r="C1491" s="66">
        <v>2.0</v>
      </c>
      <c r="D1491" s="66" t="s">
        <v>204</v>
      </c>
      <c r="E1491" s="66">
        <v>0.0</v>
      </c>
      <c r="F1491" s="66">
        <v>0.205</v>
      </c>
      <c r="G1491" s="66">
        <v>0.124</v>
      </c>
      <c r="H1491" s="66" t="s">
        <v>236</v>
      </c>
      <c r="I1491" s="81">
        <f t="shared" si="3"/>
        <v>0.6532258065</v>
      </c>
      <c r="J1491" s="81">
        <f t="shared" si="4"/>
        <v>0.6048780488</v>
      </c>
    </row>
    <row r="1492">
      <c r="A1492" s="82">
        <v>44769.0</v>
      </c>
      <c r="B1492" s="66">
        <v>2380.0</v>
      </c>
      <c r="C1492" s="66">
        <v>2.0</v>
      </c>
      <c r="D1492" s="66" t="s">
        <v>205</v>
      </c>
      <c r="F1492" s="66">
        <v>1.277</v>
      </c>
      <c r="G1492" s="66">
        <v>0.827</v>
      </c>
      <c r="H1492" s="66" t="s">
        <v>237</v>
      </c>
      <c r="I1492" s="81">
        <f t="shared" si="3"/>
        <v>0.5441354293</v>
      </c>
      <c r="J1492" s="81">
        <f t="shared" si="4"/>
        <v>0.6476115897</v>
      </c>
    </row>
    <row r="1493">
      <c r="A1493" s="82">
        <v>44769.0</v>
      </c>
      <c r="B1493" s="66">
        <v>2380.0</v>
      </c>
      <c r="C1493" s="66">
        <v>2.0</v>
      </c>
      <c r="D1493" s="66" t="s">
        <v>204</v>
      </c>
      <c r="F1493" s="66">
        <v>0.404</v>
      </c>
      <c r="G1493" s="66">
        <v>0.247</v>
      </c>
      <c r="H1493" s="66" t="s">
        <v>237</v>
      </c>
      <c r="I1493" s="81">
        <f t="shared" si="3"/>
        <v>0.6356275304</v>
      </c>
      <c r="J1493" s="81">
        <f t="shared" si="4"/>
        <v>0.6113861386</v>
      </c>
    </row>
    <row r="1494">
      <c r="A1494" s="82">
        <v>44769.0</v>
      </c>
      <c r="B1494" s="66">
        <v>2345.0</v>
      </c>
      <c r="C1494" s="66">
        <v>2.0</v>
      </c>
      <c r="D1494" s="66" t="s">
        <v>205</v>
      </c>
      <c r="E1494" s="66">
        <v>0.0</v>
      </c>
      <c r="F1494" s="66">
        <v>1.368</v>
      </c>
      <c r="G1494" s="66">
        <v>0.818</v>
      </c>
      <c r="H1494" s="66" t="s">
        <v>237</v>
      </c>
      <c r="I1494" s="81">
        <f t="shared" si="3"/>
        <v>0.6723716381</v>
      </c>
      <c r="J1494" s="81">
        <f t="shared" si="4"/>
        <v>0.5979532164</v>
      </c>
    </row>
    <row r="1495">
      <c r="A1495" s="82">
        <v>44769.0</v>
      </c>
      <c r="B1495" s="66">
        <v>2345.0</v>
      </c>
      <c r="C1495" s="66">
        <v>2.0</v>
      </c>
      <c r="D1495" s="66" t="s">
        <v>204</v>
      </c>
      <c r="E1495" s="66">
        <v>0.0</v>
      </c>
      <c r="F1495" s="66">
        <v>0.076</v>
      </c>
      <c r="G1495" s="66">
        <v>0.042</v>
      </c>
      <c r="H1495" s="66" t="s">
        <v>237</v>
      </c>
      <c r="I1495" s="81">
        <f t="shared" si="3"/>
        <v>0.8095238095</v>
      </c>
      <c r="J1495" s="81">
        <f t="shared" si="4"/>
        <v>0.5526315789</v>
      </c>
    </row>
    <row r="1496">
      <c r="A1496" s="82">
        <v>44769.0</v>
      </c>
      <c r="B1496" s="66">
        <v>2376.0</v>
      </c>
      <c r="C1496" s="66">
        <v>2.0</v>
      </c>
      <c r="D1496" s="66" t="s">
        <v>205</v>
      </c>
      <c r="E1496" s="66">
        <v>1.0</v>
      </c>
      <c r="F1496" s="66">
        <v>1.691</v>
      </c>
      <c r="G1496" s="66">
        <v>1.063</v>
      </c>
      <c r="H1496" s="66" t="s">
        <v>237</v>
      </c>
      <c r="I1496" s="81">
        <f t="shared" si="3"/>
        <v>0.590780809</v>
      </c>
      <c r="J1496" s="81">
        <f t="shared" si="4"/>
        <v>0.6286221171</v>
      </c>
    </row>
    <row r="1497">
      <c r="A1497" s="82">
        <v>44769.0</v>
      </c>
      <c r="B1497" s="66">
        <v>2376.0</v>
      </c>
      <c r="C1497" s="66">
        <v>2.0</v>
      </c>
      <c r="D1497" s="66" t="s">
        <v>204</v>
      </c>
      <c r="E1497" s="66">
        <v>1.0</v>
      </c>
      <c r="F1497" s="66">
        <v>0.231</v>
      </c>
      <c r="G1497" s="66">
        <v>0.143</v>
      </c>
      <c r="H1497" s="66" t="s">
        <v>237</v>
      </c>
      <c r="I1497" s="81">
        <f t="shared" si="3"/>
        <v>0.6153846154</v>
      </c>
      <c r="J1497" s="81">
        <f t="shared" si="4"/>
        <v>0.619047619</v>
      </c>
    </row>
    <row r="1498">
      <c r="A1498" s="82">
        <v>44769.0</v>
      </c>
      <c r="B1498" s="66">
        <v>2379.0</v>
      </c>
      <c r="C1498" s="66">
        <v>1.0</v>
      </c>
      <c r="D1498" s="66" t="s">
        <v>205</v>
      </c>
      <c r="E1498" s="66">
        <v>0.0</v>
      </c>
      <c r="F1498" s="66">
        <v>0.911</v>
      </c>
      <c r="G1498" s="66">
        <v>0.526</v>
      </c>
      <c r="H1498" s="66" t="s">
        <v>236</v>
      </c>
      <c r="I1498" s="81">
        <f t="shared" si="3"/>
        <v>0.7319391635</v>
      </c>
      <c r="J1498" s="81">
        <f t="shared" si="4"/>
        <v>0.5773874863</v>
      </c>
    </row>
    <row r="1499">
      <c r="A1499" s="82">
        <v>44769.0</v>
      </c>
      <c r="B1499" s="66">
        <v>2379.0</v>
      </c>
      <c r="C1499" s="66">
        <v>1.0</v>
      </c>
      <c r="D1499" s="66" t="s">
        <v>204</v>
      </c>
      <c r="E1499" s="66">
        <v>0.0</v>
      </c>
      <c r="F1499" s="66">
        <v>0.068</v>
      </c>
      <c r="G1499" s="66">
        <v>0.039</v>
      </c>
      <c r="H1499" s="66" t="s">
        <v>236</v>
      </c>
      <c r="I1499" s="81">
        <f t="shared" si="3"/>
        <v>0.7435897436</v>
      </c>
      <c r="J1499" s="81">
        <f t="shared" si="4"/>
        <v>0.5735294118</v>
      </c>
    </row>
    <row r="1500">
      <c r="A1500" s="82">
        <v>44769.0</v>
      </c>
      <c r="B1500" s="66">
        <v>2343.0</v>
      </c>
      <c r="C1500" s="66">
        <v>2.0</v>
      </c>
      <c r="D1500" s="66" t="s">
        <v>205</v>
      </c>
      <c r="E1500" s="66">
        <v>0.0</v>
      </c>
      <c r="F1500" s="66">
        <v>1.158</v>
      </c>
      <c r="G1500" s="66">
        <v>0.669</v>
      </c>
      <c r="H1500" s="66" t="s">
        <v>236</v>
      </c>
      <c r="I1500" s="81">
        <f t="shared" si="3"/>
        <v>0.730941704</v>
      </c>
      <c r="J1500" s="81">
        <f t="shared" si="4"/>
        <v>0.5777202073</v>
      </c>
    </row>
    <row r="1501">
      <c r="A1501" s="82">
        <v>44769.0</v>
      </c>
      <c r="B1501" s="66">
        <v>2343.0</v>
      </c>
      <c r="C1501" s="66">
        <v>2.0</v>
      </c>
      <c r="D1501" s="66" t="s">
        <v>204</v>
      </c>
      <c r="E1501" s="66">
        <v>0.0</v>
      </c>
      <c r="F1501" s="66">
        <v>0.383</v>
      </c>
      <c r="G1501" s="66">
        <v>0.219</v>
      </c>
      <c r="H1501" s="66" t="s">
        <v>236</v>
      </c>
      <c r="I1501" s="81">
        <f t="shared" si="3"/>
        <v>0.7488584475</v>
      </c>
      <c r="J1501" s="81">
        <f t="shared" si="4"/>
        <v>0.5718015666</v>
      </c>
    </row>
    <row r="1502">
      <c r="A1502" s="82">
        <v>44769.0</v>
      </c>
      <c r="B1502" s="66">
        <v>2346.0</v>
      </c>
      <c r="C1502" s="66">
        <v>1.0</v>
      </c>
      <c r="D1502" s="66" t="s">
        <v>205</v>
      </c>
      <c r="E1502" s="66">
        <v>0.0</v>
      </c>
      <c r="F1502" s="66">
        <v>1.36</v>
      </c>
      <c r="G1502" s="66">
        <v>0.807</v>
      </c>
      <c r="H1502" s="66" t="s">
        <v>236</v>
      </c>
      <c r="I1502" s="81">
        <f t="shared" si="3"/>
        <v>0.6852540273</v>
      </c>
      <c r="J1502" s="81">
        <f t="shared" si="4"/>
        <v>0.5933823529</v>
      </c>
    </row>
    <row r="1503">
      <c r="A1503" s="82">
        <v>44769.0</v>
      </c>
      <c r="B1503" s="66">
        <v>2346.0</v>
      </c>
      <c r="C1503" s="66">
        <v>1.0</v>
      </c>
      <c r="D1503" s="66" t="s">
        <v>204</v>
      </c>
      <c r="E1503" s="66">
        <v>0.0</v>
      </c>
      <c r="F1503" s="66">
        <v>0.2</v>
      </c>
      <c r="G1503" s="66">
        <v>0.121</v>
      </c>
      <c r="H1503" s="66" t="s">
        <v>236</v>
      </c>
      <c r="I1503" s="81">
        <f t="shared" si="3"/>
        <v>0.652892562</v>
      </c>
      <c r="J1503" s="81">
        <f t="shared" si="4"/>
        <v>0.605</v>
      </c>
    </row>
    <row r="1504">
      <c r="A1504" s="82">
        <v>44769.0</v>
      </c>
      <c r="B1504" s="66">
        <v>2301.0</v>
      </c>
      <c r="C1504" s="66">
        <v>2.0</v>
      </c>
      <c r="D1504" s="66" t="s">
        <v>205</v>
      </c>
      <c r="E1504" s="66">
        <v>1.0</v>
      </c>
      <c r="F1504" s="66">
        <v>2.112</v>
      </c>
      <c r="G1504" s="66">
        <v>1.345</v>
      </c>
      <c r="H1504" s="66" t="s">
        <v>237</v>
      </c>
      <c r="I1504" s="81">
        <f t="shared" si="3"/>
        <v>0.570260223</v>
      </c>
      <c r="J1504" s="81">
        <f t="shared" si="4"/>
        <v>0.6368371212</v>
      </c>
    </row>
    <row r="1505">
      <c r="A1505" s="82">
        <v>44769.0</v>
      </c>
      <c r="B1505" s="66">
        <v>2301.0</v>
      </c>
      <c r="C1505" s="66">
        <v>2.0</v>
      </c>
      <c r="D1505" s="66" t="s">
        <v>204</v>
      </c>
      <c r="E1505" s="66">
        <v>1.0</v>
      </c>
      <c r="F1505" s="66">
        <v>0.46</v>
      </c>
      <c r="G1505" s="66">
        <v>0.278</v>
      </c>
      <c r="H1505" s="66" t="s">
        <v>237</v>
      </c>
      <c r="I1505" s="81">
        <f t="shared" si="3"/>
        <v>0.654676259</v>
      </c>
      <c r="J1505" s="81">
        <f t="shared" si="4"/>
        <v>0.6043478261</v>
      </c>
    </row>
    <row r="1506">
      <c r="A1506" s="82">
        <v>44769.0</v>
      </c>
      <c r="B1506" s="66">
        <v>2345.0</v>
      </c>
      <c r="C1506" s="66">
        <v>1.0</v>
      </c>
      <c r="D1506" s="66" t="s">
        <v>205</v>
      </c>
      <c r="E1506" s="66">
        <v>1.0</v>
      </c>
      <c r="F1506" s="66">
        <v>2.031</v>
      </c>
      <c r="G1506" s="66">
        <v>1.327</v>
      </c>
      <c r="H1506" s="66" t="s">
        <v>237</v>
      </c>
      <c r="I1506" s="81">
        <f t="shared" si="3"/>
        <v>0.5305199699</v>
      </c>
      <c r="J1506" s="81">
        <f t="shared" si="4"/>
        <v>0.6533727228</v>
      </c>
    </row>
    <row r="1507">
      <c r="A1507" s="82">
        <v>44769.0</v>
      </c>
      <c r="B1507" s="66">
        <v>2345.0</v>
      </c>
      <c r="C1507" s="66">
        <v>1.0</v>
      </c>
      <c r="D1507" s="66" t="s">
        <v>204</v>
      </c>
      <c r="E1507" s="66">
        <v>1.0</v>
      </c>
      <c r="F1507" s="66">
        <v>0.506</v>
      </c>
      <c r="G1507" s="66">
        <v>0.305</v>
      </c>
      <c r="H1507" s="66" t="s">
        <v>237</v>
      </c>
      <c r="I1507" s="81">
        <f t="shared" si="3"/>
        <v>0.6590163934</v>
      </c>
      <c r="J1507" s="81">
        <f t="shared" si="4"/>
        <v>0.6027667984</v>
      </c>
    </row>
    <row r="1508">
      <c r="A1508" s="82">
        <v>44769.0</v>
      </c>
      <c r="B1508" s="66">
        <v>2383.0</v>
      </c>
      <c r="C1508" s="66">
        <v>2.0</v>
      </c>
      <c r="D1508" s="66" t="s">
        <v>205</v>
      </c>
      <c r="E1508" s="66">
        <v>0.0</v>
      </c>
      <c r="F1508" s="66">
        <v>0.684</v>
      </c>
      <c r="G1508" s="66">
        <v>0.398</v>
      </c>
      <c r="H1508" s="66" t="s">
        <v>236</v>
      </c>
      <c r="I1508" s="81">
        <f t="shared" si="3"/>
        <v>0.7185929648</v>
      </c>
      <c r="J1508" s="81">
        <f t="shared" si="4"/>
        <v>0.581871345</v>
      </c>
    </row>
    <row r="1509">
      <c r="A1509" s="82">
        <v>44769.0</v>
      </c>
      <c r="B1509" s="66">
        <v>2383.0</v>
      </c>
      <c r="C1509" s="66">
        <v>2.0</v>
      </c>
      <c r="D1509" s="66" t="s">
        <v>204</v>
      </c>
      <c r="E1509" s="66">
        <v>0.0</v>
      </c>
      <c r="F1509" s="66">
        <v>0.091</v>
      </c>
      <c r="G1509" s="66">
        <v>0.053</v>
      </c>
      <c r="H1509" s="66" t="s">
        <v>236</v>
      </c>
      <c r="I1509" s="81">
        <f t="shared" si="3"/>
        <v>0.7169811321</v>
      </c>
      <c r="J1509" s="81">
        <f t="shared" si="4"/>
        <v>0.5824175824</v>
      </c>
    </row>
    <row r="1510">
      <c r="A1510" s="82">
        <v>44769.0</v>
      </c>
      <c r="B1510" s="66">
        <v>2301.0</v>
      </c>
      <c r="C1510" s="66">
        <v>1.0</v>
      </c>
      <c r="D1510" s="66" t="s">
        <v>205</v>
      </c>
      <c r="E1510" s="66">
        <v>1.0</v>
      </c>
      <c r="F1510" s="66">
        <v>3.308</v>
      </c>
      <c r="G1510" s="66">
        <v>2.135</v>
      </c>
      <c r="H1510" s="66" t="s">
        <v>237</v>
      </c>
      <c r="I1510" s="81">
        <f t="shared" si="3"/>
        <v>0.5494145199</v>
      </c>
      <c r="J1510" s="81">
        <f t="shared" si="4"/>
        <v>0.6454050786</v>
      </c>
    </row>
    <row r="1511">
      <c r="A1511" s="82">
        <v>44769.0</v>
      </c>
      <c r="B1511" s="66">
        <v>2301.0</v>
      </c>
      <c r="C1511" s="66">
        <v>1.0</v>
      </c>
      <c r="D1511" s="66" t="s">
        <v>204</v>
      </c>
      <c r="E1511" s="66">
        <v>1.0</v>
      </c>
      <c r="F1511" s="66">
        <v>0.718</v>
      </c>
      <c r="G1511" s="66">
        <v>0.448</v>
      </c>
      <c r="H1511" s="66" t="s">
        <v>237</v>
      </c>
      <c r="I1511" s="81">
        <f t="shared" si="3"/>
        <v>0.6026785714</v>
      </c>
      <c r="J1511" s="81">
        <f t="shared" si="4"/>
        <v>0.6239554318</v>
      </c>
    </row>
    <row r="1512">
      <c r="A1512" s="82">
        <v>44769.0</v>
      </c>
      <c r="B1512" s="66">
        <v>2331.0</v>
      </c>
      <c r="C1512" s="66">
        <v>1.0</v>
      </c>
      <c r="D1512" s="66" t="s">
        <v>205</v>
      </c>
      <c r="E1512" s="66">
        <v>1.0</v>
      </c>
      <c r="F1512" s="66">
        <v>2.101</v>
      </c>
      <c r="G1512" s="66">
        <v>1.355</v>
      </c>
      <c r="H1512" s="66" t="s">
        <v>237</v>
      </c>
      <c r="I1512" s="81">
        <f t="shared" si="3"/>
        <v>0.5505535055</v>
      </c>
      <c r="J1512" s="81">
        <f t="shared" si="4"/>
        <v>0.6449309852</v>
      </c>
    </row>
    <row r="1513">
      <c r="A1513" s="82">
        <v>44769.0</v>
      </c>
      <c r="B1513" s="66">
        <v>2331.0</v>
      </c>
      <c r="C1513" s="66">
        <v>1.0</v>
      </c>
      <c r="D1513" s="66" t="s">
        <v>204</v>
      </c>
      <c r="E1513" s="66">
        <v>1.0</v>
      </c>
      <c r="F1513" s="66">
        <v>0.645</v>
      </c>
      <c r="G1513" s="66">
        <v>0.399</v>
      </c>
      <c r="H1513" s="66" t="s">
        <v>237</v>
      </c>
      <c r="I1513" s="81">
        <f t="shared" si="3"/>
        <v>0.6165413534</v>
      </c>
      <c r="J1513" s="81">
        <f t="shared" si="4"/>
        <v>0.6186046512</v>
      </c>
    </row>
    <row r="1514">
      <c r="A1514" s="82">
        <v>44769.0</v>
      </c>
      <c r="B1514" s="66">
        <v>2370.0</v>
      </c>
      <c r="C1514" s="66">
        <v>1.0</v>
      </c>
      <c r="D1514" s="66" t="s">
        <v>205</v>
      </c>
      <c r="E1514" s="66">
        <v>0.0</v>
      </c>
      <c r="F1514" s="66">
        <v>1.036</v>
      </c>
      <c r="G1514" s="66">
        <v>0.61</v>
      </c>
      <c r="H1514" s="66" t="s">
        <v>236</v>
      </c>
      <c r="I1514" s="81">
        <f t="shared" si="3"/>
        <v>0.6983606557</v>
      </c>
      <c r="J1514" s="81">
        <f t="shared" si="4"/>
        <v>0.5888030888</v>
      </c>
    </row>
    <row r="1515">
      <c r="A1515" s="82">
        <v>44769.0</v>
      </c>
      <c r="B1515" s="66">
        <v>2370.0</v>
      </c>
      <c r="C1515" s="66">
        <v>1.0</v>
      </c>
      <c r="D1515" s="66" t="s">
        <v>204</v>
      </c>
      <c r="E1515" s="66">
        <v>0.0</v>
      </c>
      <c r="F1515" s="66">
        <v>0.111</v>
      </c>
      <c r="G1515" s="66">
        <v>0.064</v>
      </c>
      <c r="H1515" s="66" t="s">
        <v>236</v>
      </c>
      <c r="I1515" s="81">
        <f t="shared" si="3"/>
        <v>0.734375</v>
      </c>
      <c r="J1515" s="81">
        <f t="shared" si="4"/>
        <v>0.5765765766</v>
      </c>
    </row>
    <row r="1516">
      <c r="A1516" s="82">
        <v>44769.0</v>
      </c>
      <c r="B1516" s="66">
        <v>2346.0</v>
      </c>
      <c r="C1516" s="66">
        <v>2.0</v>
      </c>
      <c r="D1516" s="66" t="s">
        <v>205</v>
      </c>
      <c r="E1516" s="66">
        <v>0.0</v>
      </c>
      <c r="F1516" s="66">
        <v>1.139</v>
      </c>
      <c r="G1516" s="66">
        <v>0.674</v>
      </c>
      <c r="H1516" s="66" t="s">
        <v>236</v>
      </c>
      <c r="I1516" s="81">
        <f t="shared" si="3"/>
        <v>0.6899109792</v>
      </c>
      <c r="J1516" s="81">
        <f t="shared" si="4"/>
        <v>0.5917471466</v>
      </c>
    </row>
    <row r="1517">
      <c r="A1517" s="82">
        <v>44769.0</v>
      </c>
      <c r="B1517" s="66">
        <v>2346.0</v>
      </c>
      <c r="C1517" s="66">
        <v>2.0</v>
      </c>
      <c r="D1517" s="66" t="s">
        <v>204</v>
      </c>
      <c r="E1517" s="66">
        <v>0.0</v>
      </c>
      <c r="F1517" s="66">
        <v>0.175</v>
      </c>
      <c r="G1517" s="66">
        <v>0.106</v>
      </c>
      <c r="H1517" s="66" t="s">
        <v>236</v>
      </c>
      <c r="I1517" s="81">
        <f t="shared" si="3"/>
        <v>0.6509433962</v>
      </c>
      <c r="J1517" s="81">
        <f t="shared" si="4"/>
        <v>0.6057142857</v>
      </c>
    </row>
    <row r="1518">
      <c r="A1518" s="82">
        <v>44769.0</v>
      </c>
      <c r="B1518" s="66">
        <v>2354.0</v>
      </c>
      <c r="C1518" s="66">
        <v>1.0</v>
      </c>
      <c r="D1518" s="66" t="s">
        <v>205</v>
      </c>
      <c r="E1518" s="66">
        <v>0.0</v>
      </c>
      <c r="F1518" s="66">
        <v>1.873</v>
      </c>
      <c r="G1518" s="66">
        <v>1.095</v>
      </c>
      <c r="H1518" s="66" t="s">
        <v>237</v>
      </c>
      <c r="I1518" s="81">
        <f t="shared" si="3"/>
        <v>0.7105022831</v>
      </c>
      <c r="J1518" s="81">
        <f t="shared" si="4"/>
        <v>0.5846235985</v>
      </c>
    </row>
    <row r="1519">
      <c r="A1519" s="82">
        <v>44769.0</v>
      </c>
      <c r="B1519" s="66">
        <v>2354.0</v>
      </c>
      <c r="C1519" s="66">
        <v>1.0</v>
      </c>
      <c r="D1519" s="66" t="s">
        <v>204</v>
      </c>
      <c r="E1519" s="66">
        <v>0.0</v>
      </c>
      <c r="F1519" s="66">
        <v>0.134</v>
      </c>
      <c r="G1519" s="66">
        <v>0.07</v>
      </c>
      <c r="H1519" s="66" t="s">
        <v>237</v>
      </c>
      <c r="I1519" s="81">
        <f t="shared" si="3"/>
        <v>0.9142857143</v>
      </c>
      <c r="J1519" s="81">
        <f t="shared" si="4"/>
        <v>0.5223880597</v>
      </c>
    </row>
    <row r="1520">
      <c r="A1520" s="82">
        <v>44769.0</v>
      </c>
      <c r="B1520" s="66">
        <v>2377.0</v>
      </c>
      <c r="C1520" s="66">
        <v>1.0</v>
      </c>
      <c r="D1520" s="66" t="s">
        <v>205</v>
      </c>
      <c r="E1520" s="66">
        <v>0.0</v>
      </c>
      <c r="F1520" s="66">
        <v>0.994</v>
      </c>
      <c r="G1520" s="66">
        <v>0.592</v>
      </c>
      <c r="H1520" s="66" t="s">
        <v>237</v>
      </c>
      <c r="I1520" s="81">
        <f t="shared" si="3"/>
        <v>0.6790540541</v>
      </c>
      <c r="J1520" s="81">
        <f t="shared" si="4"/>
        <v>0.5955734406</v>
      </c>
    </row>
    <row r="1521">
      <c r="A1521" s="82">
        <v>44769.0</v>
      </c>
      <c r="B1521" s="66">
        <v>2377.0</v>
      </c>
      <c r="C1521" s="66">
        <v>1.0</v>
      </c>
      <c r="D1521" s="66" t="s">
        <v>204</v>
      </c>
      <c r="E1521" s="66">
        <v>0.0</v>
      </c>
      <c r="F1521" s="66">
        <v>0.188</v>
      </c>
      <c r="G1521" s="66">
        <v>0.105</v>
      </c>
      <c r="H1521" s="66" t="s">
        <v>237</v>
      </c>
      <c r="I1521" s="81">
        <f t="shared" si="3"/>
        <v>0.7904761905</v>
      </c>
      <c r="J1521" s="81">
        <f t="shared" si="4"/>
        <v>0.5585106383</v>
      </c>
    </row>
    <row r="1522">
      <c r="A1522" s="82">
        <v>44769.0</v>
      </c>
      <c r="B1522" s="66">
        <v>2377.0</v>
      </c>
      <c r="C1522" s="66">
        <v>1.0</v>
      </c>
      <c r="D1522" s="66" t="s">
        <v>205</v>
      </c>
      <c r="E1522" s="66">
        <v>1.0</v>
      </c>
      <c r="F1522" s="66">
        <v>2.584</v>
      </c>
      <c r="G1522" s="66">
        <v>1.66</v>
      </c>
      <c r="H1522" s="66" t="s">
        <v>237</v>
      </c>
      <c r="I1522" s="81">
        <f t="shared" si="3"/>
        <v>0.556626506</v>
      </c>
      <c r="J1522" s="81">
        <f t="shared" si="4"/>
        <v>0.6424148607</v>
      </c>
    </row>
    <row r="1523">
      <c r="A1523" s="82">
        <v>44769.0</v>
      </c>
      <c r="B1523" s="66">
        <v>2377.0</v>
      </c>
      <c r="C1523" s="66">
        <v>1.0</v>
      </c>
      <c r="D1523" s="66" t="s">
        <v>204</v>
      </c>
      <c r="E1523" s="66">
        <v>1.0</v>
      </c>
      <c r="F1523" s="66">
        <v>0.574</v>
      </c>
      <c r="G1523" s="66">
        <v>0.328</v>
      </c>
      <c r="H1523" s="66" t="s">
        <v>237</v>
      </c>
      <c r="I1523" s="81">
        <f t="shared" si="3"/>
        <v>0.75</v>
      </c>
      <c r="J1523" s="81">
        <f t="shared" si="4"/>
        <v>0.5714285714</v>
      </c>
    </row>
    <row r="1524">
      <c r="A1524" s="82">
        <v>44769.0</v>
      </c>
      <c r="B1524" s="66">
        <v>2354.0</v>
      </c>
      <c r="C1524" s="66">
        <v>0.0</v>
      </c>
      <c r="D1524" s="66" t="s">
        <v>205</v>
      </c>
      <c r="E1524" s="66">
        <v>0.0</v>
      </c>
      <c r="F1524" s="66">
        <v>0.217</v>
      </c>
      <c r="G1524" s="66">
        <v>0.133</v>
      </c>
      <c r="H1524" s="66" t="s">
        <v>237</v>
      </c>
      <c r="I1524" s="81">
        <f t="shared" si="3"/>
        <v>0.6315789474</v>
      </c>
      <c r="J1524" s="81">
        <f t="shared" si="4"/>
        <v>0.6129032258</v>
      </c>
    </row>
    <row r="1525">
      <c r="A1525" s="82">
        <v>44769.0</v>
      </c>
      <c r="B1525" s="66">
        <v>2354.0</v>
      </c>
      <c r="C1525" s="66">
        <v>0.0</v>
      </c>
      <c r="D1525" s="66" t="s">
        <v>204</v>
      </c>
      <c r="E1525" s="66">
        <v>0.0</v>
      </c>
      <c r="F1525" s="66">
        <v>0.051</v>
      </c>
      <c r="G1525" s="66">
        <v>0.028</v>
      </c>
      <c r="H1525" s="66" t="s">
        <v>237</v>
      </c>
      <c r="I1525" s="81">
        <f t="shared" si="3"/>
        <v>0.8214285714</v>
      </c>
      <c r="J1525" s="81">
        <f t="shared" si="4"/>
        <v>0.5490196078</v>
      </c>
    </row>
    <row r="1526">
      <c r="A1526" s="82">
        <v>44769.0</v>
      </c>
      <c r="B1526" s="66">
        <v>2347.0</v>
      </c>
      <c r="C1526" s="66">
        <v>1.0</v>
      </c>
      <c r="D1526" s="66" t="s">
        <v>205</v>
      </c>
      <c r="E1526" s="66">
        <v>0.0</v>
      </c>
      <c r="F1526" s="66">
        <v>1.447</v>
      </c>
      <c r="G1526" s="66">
        <v>0.831</v>
      </c>
      <c r="H1526" s="66" t="s">
        <v>236</v>
      </c>
      <c r="I1526" s="81">
        <f t="shared" si="3"/>
        <v>0.7412755716</v>
      </c>
      <c r="J1526" s="81">
        <f t="shared" si="4"/>
        <v>0.5742916379</v>
      </c>
    </row>
    <row r="1527">
      <c r="A1527" s="82">
        <v>44769.0</v>
      </c>
      <c r="B1527" s="66">
        <v>2347.0</v>
      </c>
      <c r="C1527" s="66">
        <v>1.0</v>
      </c>
      <c r="D1527" s="66" t="s">
        <v>204</v>
      </c>
      <c r="E1527" s="66">
        <v>0.0</v>
      </c>
      <c r="F1527" s="66">
        <v>0.146</v>
      </c>
      <c r="G1527" s="66">
        <v>0.089</v>
      </c>
      <c r="H1527" s="66" t="s">
        <v>236</v>
      </c>
      <c r="I1527" s="81">
        <f t="shared" si="3"/>
        <v>0.6404494382</v>
      </c>
      <c r="J1527" s="81">
        <f t="shared" si="4"/>
        <v>0.6095890411</v>
      </c>
    </row>
    <row r="1528">
      <c r="A1528" s="82">
        <v>44769.0</v>
      </c>
      <c r="B1528" s="66">
        <v>2009.0</v>
      </c>
      <c r="C1528" s="66">
        <v>1.0</v>
      </c>
      <c r="D1528" s="66" t="s">
        <v>205</v>
      </c>
      <c r="E1528" s="66">
        <v>0.0</v>
      </c>
      <c r="F1528" s="66">
        <v>1.511</v>
      </c>
      <c r="G1528" s="66">
        <v>0.908</v>
      </c>
      <c r="H1528" s="66" t="s">
        <v>236</v>
      </c>
      <c r="I1528" s="81">
        <f t="shared" si="3"/>
        <v>0.6640969163</v>
      </c>
      <c r="J1528" s="81">
        <f t="shared" si="4"/>
        <v>0.6009265387</v>
      </c>
    </row>
    <row r="1529">
      <c r="A1529" s="82">
        <v>44769.0</v>
      </c>
      <c r="B1529" s="66">
        <v>2009.0</v>
      </c>
      <c r="C1529" s="66">
        <v>1.0</v>
      </c>
      <c r="D1529" s="66" t="s">
        <v>204</v>
      </c>
      <c r="E1529" s="66">
        <v>0.0</v>
      </c>
      <c r="F1529" s="66">
        <v>0.097</v>
      </c>
      <c r="G1529" s="66">
        <v>0.059</v>
      </c>
      <c r="H1529" s="66" t="s">
        <v>236</v>
      </c>
      <c r="I1529" s="81">
        <f t="shared" si="3"/>
        <v>0.6440677966</v>
      </c>
      <c r="J1529" s="81">
        <f t="shared" si="4"/>
        <v>0.6082474227</v>
      </c>
    </row>
    <row r="1530">
      <c r="A1530" s="82">
        <v>44769.0</v>
      </c>
      <c r="B1530" s="66">
        <v>2375.0</v>
      </c>
      <c r="C1530" s="66">
        <v>1.0</v>
      </c>
      <c r="D1530" s="66" t="s">
        <v>205</v>
      </c>
      <c r="E1530" s="66">
        <v>0.0</v>
      </c>
      <c r="F1530" s="66">
        <v>2.628</v>
      </c>
      <c r="G1530" s="66">
        <v>1.492</v>
      </c>
      <c r="H1530" s="66" t="s">
        <v>236</v>
      </c>
      <c r="I1530" s="81">
        <f t="shared" si="3"/>
        <v>0.7613941019</v>
      </c>
      <c r="J1530" s="81">
        <f t="shared" si="4"/>
        <v>0.5677321157</v>
      </c>
    </row>
    <row r="1531">
      <c r="A1531" s="82">
        <v>44769.0</v>
      </c>
      <c r="B1531" s="66">
        <v>2375.0</v>
      </c>
      <c r="C1531" s="66">
        <v>1.0</v>
      </c>
      <c r="D1531" s="66" t="s">
        <v>204</v>
      </c>
      <c r="E1531" s="66">
        <v>0.0</v>
      </c>
      <c r="F1531" s="66">
        <v>0.848</v>
      </c>
      <c r="G1531" s="66">
        <v>0.49</v>
      </c>
      <c r="H1531" s="66" t="s">
        <v>236</v>
      </c>
      <c r="I1531" s="81">
        <f t="shared" si="3"/>
        <v>0.7306122449</v>
      </c>
      <c r="J1531" s="81">
        <f t="shared" si="4"/>
        <v>0.5778301887</v>
      </c>
    </row>
    <row r="1532">
      <c r="A1532" s="82">
        <v>44769.0</v>
      </c>
      <c r="B1532" s="66">
        <v>2372.0</v>
      </c>
      <c r="C1532" s="66">
        <v>1.0</v>
      </c>
      <c r="D1532" s="66" t="s">
        <v>205</v>
      </c>
      <c r="E1532" s="66">
        <v>0.0</v>
      </c>
      <c r="F1532" s="66">
        <v>2.13</v>
      </c>
      <c r="G1532" s="66">
        <v>1.256</v>
      </c>
      <c r="H1532" s="66" t="s">
        <v>236</v>
      </c>
      <c r="I1532" s="81">
        <f t="shared" si="3"/>
        <v>0.6958598726</v>
      </c>
      <c r="J1532" s="81">
        <f t="shared" si="4"/>
        <v>0.5896713615</v>
      </c>
    </row>
    <row r="1533">
      <c r="A1533" s="82">
        <v>44769.0</v>
      </c>
      <c r="B1533" s="66">
        <v>2372.0</v>
      </c>
      <c r="C1533" s="66">
        <v>1.0</v>
      </c>
      <c r="D1533" s="66" t="s">
        <v>204</v>
      </c>
      <c r="E1533" s="66">
        <v>0.0</v>
      </c>
      <c r="F1533" s="66">
        <v>0.42</v>
      </c>
      <c r="G1533" s="66">
        <v>0.256</v>
      </c>
      <c r="H1533" s="66" t="s">
        <v>236</v>
      </c>
      <c r="I1533" s="81">
        <f t="shared" si="3"/>
        <v>0.640625</v>
      </c>
      <c r="J1533" s="81">
        <f t="shared" si="4"/>
        <v>0.6095238095</v>
      </c>
    </row>
    <row r="1534">
      <c r="A1534" s="82">
        <v>44769.0</v>
      </c>
      <c r="B1534" s="66">
        <v>2377.0</v>
      </c>
      <c r="C1534" s="66">
        <v>2.0</v>
      </c>
      <c r="D1534" s="66" t="s">
        <v>205</v>
      </c>
      <c r="E1534" s="66">
        <v>1.0</v>
      </c>
      <c r="F1534" s="66">
        <v>1.012</v>
      </c>
      <c r="G1534" s="66">
        <v>0.649</v>
      </c>
      <c r="H1534" s="66" t="s">
        <v>237</v>
      </c>
      <c r="I1534" s="81">
        <f t="shared" si="3"/>
        <v>0.5593220339</v>
      </c>
      <c r="J1534" s="81">
        <f t="shared" si="4"/>
        <v>0.6413043478</v>
      </c>
    </row>
    <row r="1535">
      <c r="A1535" s="82">
        <v>44769.0</v>
      </c>
      <c r="B1535" s="66">
        <v>2377.0</v>
      </c>
      <c r="C1535" s="66">
        <v>2.0</v>
      </c>
      <c r="D1535" s="66" t="s">
        <v>204</v>
      </c>
      <c r="E1535" s="66">
        <v>1.0</v>
      </c>
      <c r="F1535" s="66">
        <v>0.323</v>
      </c>
      <c r="G1535" s="66">
        <v>0.192</v>
      </c>
      <c r="H1535" s="66" t="s">
        <v>237</v>
      </c>
      <c r="I1535" s="81">
        <f t="shared" si="3"/>
        <v>0.6822916667</v>
      </c>
      <c r="J1535" s="81">
        <f t="shared" si="4"/>
        <v>0.5944272446</v>
      </c>
    </row>
    <row r="1536">
      <c r="A1536" s="82">
        <v>44769.0</v>
      </c>
      <c r="B1536" s="66">
        <v>2347.0</v>
      </c>
      <c r="C1536" s="66">
        <v>2.0</v>
      </c>
      <c r="D1536" s="66" t="s">
        <v>205</v>
      </c>
      <c r="E1536" s="66">
        <v>0.0</v>
      </c>
      <c r="F1536" s="66">
        <v>2.411</v>
      </c>
      <c r="G1536" s="66">
        <v>1.368</v>
      </c>
      <c r="H1536" s="66" t="s">
        <v>236</v>
      </c>
      <c r="I1536" s="81">
        <f t="shared" si="3"/>
        <v>0.7624269006</v>
      </c>
      <c r="J1536" s="81">
        <f t="shared" si="4"/>
        <v>0.5673994193</v>
      </c>
    </row>
    <row r="1537">
      <c r="A1537" s="82">
        <v>44769.0</v>
      </c>
      <c r="B1537" s="66">
        <v>2347.0</v>
      </c>
      <c r="C1537" s="66">
        <v>2.0</v>
      </c>
      <c r="D1537" s="66" t="s">
        <v>204</v>
      </c>
      <c r="E1537" s="66">
        <v>0.0</v>
      </c>
      <c r="F1537" s="66">
        <v>0.208</v>
      </c>
      <c r="G1537" s="66">
        <v>0.126</v>
      </c>
      <c r="H1537" s="66" t="s">
        <v>236</v>
      </c>
      <c r="I1537" s="81">
        <f t="shared" si="3"/>
        <v>0.6507936508</v>
      </c>
      <c r="J1537" s="81">
        <f t="shared" si="4"/>
        <v>0.6057692308</v>
      </c>
    </row>
    <row r="1538">
      <c r="A1538" s="82">
        <v>44769.0</v>
      </c>
      <c r="B1538" s="66">
        <v>2378.0</v>
      </c>
      <c r="C1538" s="66">
        <v>2.0</v>
      </c>
      <c r="D1538" s="66" t="s">
        <v>205</v>
      </c>
      <c r="E1538" s="66">
        <v>0.0</v>
      </c>
      <c r="F1538" s="66">
        <v>0.656</v>
      </c>
      <c r="G1538" s="66">
        <v>0.366</v>
      </c>
      <c r="H1538" s="66" t="s">
        <v>236</v>
      </c>
      <c r="I1538" s="81">
        <f t="shared" si="3"/>
        <v>0.7923497268</v>
      </c>
      <c r="J1538" s="81">
        <f t="shared" si="4"/>
        <v>0.5579268293</v>
      </c>
    </row>
    <row r="1539">
      <c r="A1539" s="82">
        <v>44769.0</v>
      </c>
      <c r="B1539" s="66">
        <v>2378.0</v>
      </c>
      <c r="C1539" s="66">
        <v>2.0</v>
      </c>
      <c r="D1539" s="66" t="s">
        <v>204</v>
      </c>
      <c r="E1539" s="66">
        <v>0.0</v>
      </c>
      <c r="F1539" s="66">
        <v>0.081</v>
      </c>
      <c r="G1539" s="66">
        <v>0.047</v>
      </c>
      <c r="H1539" s="66" t="s">
        <v>236</v>
      </c>
      <c r="I1539" s="81">
        <f t="shared" si="3"/>
        <v>0.7234042553</v>
      </c>
      <c r="J1539" s="81">
        <f t="shared" si="4"/>
        <v>0.5802469136</v>
      </c>
    </row>
    <row r="1540">
      <c r="A1540" s="82">
        <v>44769.0</v>
      </c>
      <c r="B1540" s="66">
        <v>2376.0</v>
      </c>
      <c r="C1540" s="66">
        <v>1.0</v>
      </c>
      <c r="D1540" s="66" t="s">
        <v>205</v>
      </c>
      <c r="E1540" s="66">
        <v>1.0</v>
      </c>
      <c r="F1540" s="66">
        <v>2.216</v>
      </c>
      <c r="G1540" s="66">
        <v>1.407</v>
      </c>
      <c r="H1540" s="66" t="s">
        <v>237</v>
      </c>
      <c r="I1540" s="81">
        <f t="shared" si="3"/>
        <v>0.5749822317</v>
      </c>
      <c r="J1540" s="81">
        <f t="shared" si="4"/>
        <v>0.6349277978</v>
      </c>
    </row>
    <row r="1541">
      <c r="A1541" s="82">
        <v>44769.0</v>
      </c>
      <c r="B1541" s="66">
        <v>2376.0</v>
      </c>
      <c r="C1541" s="66">
        <v>1.0</v>
      </c>
      <c r="D1541" s="66" t="s">
        <v>204</v>
      </c>
      <c r="E1541" s="66">
        <v>1.0</v>
      </c>
      <c r="F1541" s="66">
        <v>0.297</v>
      </c>
      <c r="G1541" s="66">
        <v>0.183</v>
      </c>
      <c r="H1541" s="66" t="s">
        <v>237</v>
      </c>
      <c r="I1541" s="81">
        <f t="shared" si="3"/>
        <v>0.6229508197</v>
      </c>
      <c r="J1541" s="81">
        <f t="shared" si="4"/>
        <v>0.6161616162</v>
      </c>
    </row>
    <row r="1542">
      <c r="A1542" s="82">
        <v>44769.0</v>
      </c>
      <c r="B1542" s="66">
        <v>2367.0</v>
      </c>
      <c r="C1542" s="66">
        <v>1.0</v>
      </c>
      <c r="D1542" s="66" t="s">
        <v>205</v>
      </c>
      <c r="E1542" s="66">
        <v>0.0</v>
      </c>
      <c r="F1542" s="66">
        <v>1.168</v>
      </c>
      <c r="G1542" s="66">
        <v>0.701</v>
      </c>
      <c r="H1542" s="66" t="s">
        <v>236</v>
      </c>
      <c r="I1542" s="81">
        <f t="shared" si="3"/>
        <v>0.6661911555</v>
      </c>
      <c r="J1542" s="81">
        <f t="shared" si="4"/>
        <v>0.6001712329</v>
      </c>
    </row>
    <row r="1543">
      <c r="A1543" s="82">
        <v>44769.0</v>
      </c>
      <c r="B1543" s="66">
        <v>2367.0</v>
      </c>
      <c r="C1543" s="66">
        <v>1.0</v>
      </c>
      <c r="D1543" s="66" t="s">
        <v>204</v>
      </c>
      <c r="E1543" s="66">
        <v>0.0</v>
      </c>
      <c r="F1543" s="66">
        <v>0.111</v>
      </c>
      <c r="G1543" s="66">
        <v>0.068</v>
      </c>
      <c r="H1543" s="66" t="s">
        <v>236</v>
      </c>
      <c r="I1543" s="81">
        <f t="shared" si="3"/>
        <v>0.6323529412</v>
      </c>
      <c r="J1543" s="81">
        <f t="shared" si="4"/>
        <v>0.6126126126</v>
      </c>
    </row>
    <row r="1544">
      <c r="A1544" s="82">
        <v>44769.0</v>
      </c>
      <c r="B1544" s="66">
        <v>2371.0</v>
      </c>
      <c r="C1544" s="66">
        <v>2.0</v>
      </c>
      <c r="D1544" s="66" t="s">
        <v>205</v>
      </c>
      <c r="E1544" s="66">
        <v>0.0</v>
      </c>
      <c r="F1544" s="66">
        <v>0.793</v>
      </c>
      <c r="G1544" s="66">
        <v>0.465</v>
      </c>
      <c r="H1544" s="66" t="s">
        <v>236</v>
      </c>
      <c r="I1544" s="81">
        <f t="shared" si="3"/>
        <v>0.7053763441</v>
      </c>
      <c r="J1544" s="81">
        <f t="shared" si="4"/>
        <v>0.5863808323</v>
      </c>
    </row>
    <row r="1545">
      <c r="A1545" s="82">
        <v>44769.0</v>
      </c>
      <c r="B1545" s="66">
        <v>2371.0</v>
      </c>
      <c r="C1545" s="66">
        <v>2.0</v>
      </c>
      <c r="D1545" s="66" t="s">
        <v>204</v>
      </c>
      <c r="E1545" s="66">
        <v>0.0</v>
      </c>
      <c r="F1545" s="66">
        <v>0.068</v>
      </c>
      <c r="G1545" s="66">
        <v>0.039</v>
      </c>
      <c r="H1545" s="66" t="s">
        <v>236</v>
      </c>
      <c r="I1545" s="81">
        <f t="shared" si="3"/>
        <v>0.7435897436</v>
      </c>
      <c r="J1545" s="81">
        <f t="shared" si="4"/>
        <v>0.5735294118</v>
      </c>
    </row>
    <row r="1546">
      <c r="A1546" s="82">
        <v>44769.0</v>
      </c>
      <c r="B1546" s="66">
        <v>2384.0</v>
      </c>
      <c r="C1546" s="66">
        <v>2.0</v>
      </c>
      <c r="D1546" s="66" t="s">
        <v>205</v>
      </c>
      <c r="E1546" s="66">
        <v>0.0</v>
      </c>
      <c r="F1546" s="66">
        <v>0.826</v>
      </c>
      <c r="G1546" s="66">
        <v>0.49</v>
      </c>
      <c r="H1546" s="66" t="s">
        <v>236</v>
      </c>
      <c r="I1546" s="81">
        <f t="shared" si="3"/>
        <v>0.6857142857</v>
      </c>
      <c r="J1546" s="81">
        <f t="shared" si="4"/>
        <v>0.593220339</v>
      </c>
    </row>
    <row r="1547">
      <c r="A1547" s="82">
        <v>44769.0</v>
      </c>
      <c r="B1547" s="66">
        <v>2384.0</v>
      </c>
      <c r="C1547" s="66">
        <v>2.0</v>
      </c>
      <c r="D1547" s="66" t="s">
        <v>204</v>
      </c>
      <c r="E1547" s="66">
        <v>0.0</v>
      </c>
      <c r="F1547" s="66">
        <v>0.105</v>
      </c>
      <c r="G1547" s="66">
        <v>0.065</v>
      </c>
      <c r="H1547" s="66" t="s">
        <v>236</v>
      </c>
      <c r="I1547" s="81">
        <f t="shared" si="3"/>
        <v>0.6153846154</v>
      </c>
      <c r="J1547" s="81">
        <f t="shared" si="4"/>
        <v>0.619047619</v>
      </c>
    </row>
    <row r="1548">
      <c r="A1548" s="82">
        <v>44769.0</v>
      </c>
      <c r="B1548" s="66">
        <v>2360.0</v>
      </c>
      <c r="C1548" s="66">
        <v>1.0</v>
      </c>
      <c r="D1548" s="66" t="s">
        <v>205</v>
      </c>
      <c r="E1548" s="66">
        <v>0.0</v>
      </c>
      <c r="F1548" s="66">
        <v>0.638</v>
      </c>
      <c r="G1548" s="66">
        <v>0.359</v>
      </c>
      <c r="H1548" s="66" t="s">
        <v>236</v>
      </c>
      <c r="I1548" s="81">
        <f t="shared" si="3"/>
        <v>0.7771587744</v>
      </c>
      <c r="J1548" s="81">
        <f t="shared" si="4"/>
        <v>0.5626959248</v>
      </c>
    </row>
    <row r="1549">
      <c r="A1549" s="82">
        <v>44769.0</v>
      </c>
      <c r="B1549" s="66">
        <v>2360.0</v>
      </c>
      <c r="C1549" s="66">
        <v>1.0</v>
      </c>
      <c r="D1549" s="66" t="s">
        <v>204</v>
      </c>
      <c r="E1549" s="66">
        <v>0.0</v>
      </c>
      <c r="F1549" s="66">
        <v>0.087</v>
      </c>
      <c r="G1549" s="66">
        <v>0.054</v>
      </c>
      <c r="H1549" s="66" t="s">
        <v>236</v>
      </c>
      <c r="I1549" s="81">
        <f t="shared" si="3"/>
        <v>0.6111111111</v>
      </c>
      <c r="J1549" s="81">
        <f t="shared" si="4"/>
        <v>0.6206896552</v>
      </c>
    </row>
    <row r="1550">
      <c r="A1550" s="82">
        <v>44769.0</v>
      </c>
      <c r="B1550" s="66">
        <v>2354.0</v>
      </c>
      <c r="C1550" s="66">
        <v>2.0</v>
      </c>
      <c r="D1550" s="66" t="s">
        <v>205</v>
      </c>
      <c r="E1550" s="66">
        <v>1.0</v>
      </c>
      <c r="F1550" s="66">
        <v>1.371</v>
      </c>
      <c r="G1550" s="66">
        <v>0.898</v>
      </c>
      <c r="H1550" s="66" t="s">
        <v>237</v>
      </c>
      <c r="I1550" s="81">
        <f t="shared" si="3"/>
        <v>0.5267260579</v>
      </c>
      <c r="J1550" s="81">
        <f t="shared" si="4"/>
        <v>0.654996353</v>
      </c>
    </row>
    <row r="1551">
      <c r="A1551" s="82">
        <v>44769.0</v>
      </c>
      <c r="B1551" s="66">
        <v>2354.0</v>
      </c>
      <c r="C1551" s="66">
        <v>2.0</v>
      </c>
      <c r="D1551" s="66" t="s">
        <v>204</v>
      </c>
      <c r="E1551" s="66">
        <v>1.0</v>
      </c>
      <c r="F1551" s="66">
        <v>0.494</v>
      </c>
      <c r="G1551" s="66">
        <v>0.284</v>
      </c>
      <c r="H1551" s="66" t="s">
        <v>237</v>
      </c>
      <c r="I1551" s="81">
        <f t="shared" si="3"/>
        <v>0.7394366197</v>
      </c>
      <c r="J1551" s="81">
        <f t="shared" si="4"/>
        <v>0.5748987854</v>
      </c>
    </row>
    <row r="1552">
      <c r="A1552" s="82">
        <v>44769.0</v>
      </c>
      <c r="B1552" s="66">
        <v>2369.0</v>
      </c>
      <c r="C1552" s="66">
        <v>1.0</v>
      </c>
      <c r="D1552" s="66" t="s">
        <v>205</v>
      </c>
      <c r="E1552" s="66">
        <v>0.0</v>
      </c>
      <c r="F1552" s="66">
        <v>2.417</v>
      </c>
      <c r="G1552" s="66">
        <v>1.431</v>
      </c>
      <c r="H1552" s="66" t="s">
        <v>236</v>
      </c>
      <c r="I1552" s="81">
        <f t="shared" si="3"/>
        <v>0.6890286513</v>
      </c>
      <c r="J1552" s="81">
        <f t="shared" si="4"/>
        <v>0.5920562681</v>
      </c>
    </row>
    <row r="1553">
      <c r="A1553" s="82">
        <v>44769.0</v>
      </c>
      <c r="B1553" s="66">
        <v>2369.0</v>
      </c>
      <c r="C1553" s="66">
        <v>1.0</v>
      </c>
      <c r="D1553" s="66" t="s">
        <v>204</v>
      </c>
      <c r="E1553" s="66">
        <v>0.0</v>
      </c>
      <c r="F1553" s="66">
        <v>0.199</v>
      </c>
      <c r="G1553" s="66">
        <v>0.124</v>
      </c>
      <c r="H1553" s="66" t="s">
        <v>236</v>
      </c>
      <c r="I1553" s="81">
        <f t="shared" si="3"/>
        <v>0.6048387097</v>
      </c>
      <c r="J1553" s="81">
        <f t="shared" si="4"/>
        <v>0.6231155779</v>
      </c>
    </row>
    <row r="1554">
      <c r="A1554" s="82">
        <v>44769.0</v>
      </c>
      <c r="B1554" s="66">
        <v>2381.0</v>
      </c>
      <c r="C1554" s="66">
        <v>1.0</v>
      </c>
      <c r="D1554" s="66" t="s">
        <v>205</v>
      </c>
      <c r="E1554" s="66">
        <v>0.0</v>
      </c>
      <c r="F1554" s="66">
        <v>1.522</v>
      </c>
      <c r="G1554" s="66">
        <v>0.865</v>
      </c>
      <c r="H1554" s="66" t="s">
        <v>236</v>
      </c>
      <c r="I1554" s="81">
        <f t="shared" si="3"/>
        <v>0.7595375723</v>
      </c>
      <c r="J1554" s="81">
        <f t="shared" si="4"/>
        <v>0.5683311432</v>
      </c>
    </row>
    <row r="1555">
      <c r="A1555" s="82">
        <v>44769.0</v>
      </c>
      <c r="B1555" s="66">
        <v>2381.0</v>
      </c>
      <c r="C1555" s="66">
        <v>1.0</v>
      </c>
      <c r="D1555" s="66" t="s">
        <v>204</v>
      </c>
      <c r="E1555" s="66">
        <v>0.0</v>
      </c>
      <c r="F1555" s="66">
        <v>0.287</v>
      </c>
      <c r="G1555" s="66">
        <v>0.168</v>
      </c>
      <c r="H1555" s="66" t="s">
        <v>236</v>
      </c>
      <c r="I1555" s="81">
        <f t="shared" si="3"/>
        <v>0.7083333333</v>
      </c>
      <c r="J1555" s="81">
        <f t="shared" si="4"/>
        <v>0.5853658537</v>
      </c>
    </row>
    <row r="1556">
      <c r="A1556" s="82">
        <v>44769.0</v>
      </c>
      <c r="B1556" s="66">
        <v>2352.0</v>
      </c>
      <c r="C1556" s="66">
        <v>1.0</v>
      </c>
      <c r="D1556" s="66" t="s">
        <v>205</v>
      </c>
      <c r="E1556" s="66">
        <v>0.0</v>
      </c>
      <c r="F1556" s="66">
        <v>0.785</v>
      </c>
      <c r="G1556" s="66">
        <v>0.48</v>
      </c>
      <c r="H1556" s="66" t="s">
        <v>237</v>
      </c>
      <c r="I1556" s="81">
        <f t="shared" si="3"/>
        <v>0.6354166667</v>
      </c>
      <c r="J1556" s="81">
        <f t="shared" si="4"/>
        <v>0.6114649682</v>
      </c>
    </row>
    <row r="1557">
      <c r="A1557" s="82">
        <v>44769.0</v>
      </c>
      <c r="B1557" s="66">
        <v>2352.0</v>
      </c>
      <c r="C1557" s="66">
        <v>1.0</v>
      </c>
      <c r="D1557" s="66" t="s">
        <v>204</v>
      </c>
      <c r="E1557" s="66">
        <v>0.0</v>
      </c>
      <c r="F1557" s="66">
        <v>0.114</v>
      </c>
      <c r="G1557" s="66">
        <v>0.064</v>
      </c>
      <c r="H1557" s="66" t="s">
        <v>237</v>
      </c>
      <c r="I1557" s="81">
        <f t="shared" si="3"/>
        <v>0.78125</v>
      </c>
      <c r="J1557" s="81">
        <f t="shared" si="4"/>
        <v>0.5614035088</v>
      </c>
    </row>
    <row r="1558">
      <c r="A1558" s="82">
        <v>44769.0</v>
      </c>
      <c r="B1558" s="66">
        <v>2382.0</v>
      </c>
      <c r="C1558" s="66">
        <v>2.0</v>
      </c>
      <c r="D1558" s="66" t="s">
        <v>205</v>
      </c>
      <c r="E1558" s="66">
        <v>0.0</v>
      </c>
      <c r="F1558" s="66">
        <v>1.573</v>
      </c>
      <c r="G1558" s="66">
        <v>0.943</v>
      </c>
      <c r="H1558" s="66" t="s">
        <v>236</v>
      </c>
      <c r="I1558" s="81">
        <f t="shared" si="3"/>
        <v>0.6680805938</v>
      </c>
      <c r="J1558" s="81">
        <f t="shared" si="4"/>
        <v>0.5994914177</v>
      </c>
    </row>
    <row r="1559">
      <c r="A1559" s="82">
        <v>44769.0</v>
      </c>
      <c r="B1559" s="66">
        <v>2382.0</v>
      </c>
      <c r="C1559" s="66">
        <v>2.0</v>
      </c>
      <c r="D1559" s="66" t="s">
        <v>204</v>
      </c>
      <c r="E1559" s="66">
        <v>0.0</v>
      </c>
      <c r="F1559" s="66">
        <v>0.082</v>
      </c>
      <c r="G1559" s="66">
        <v>0.05</v>
      </c>
      <c r="H1559" s="66" t="s">
        <v>236</v>
      </c>
      <c r="I1559" s="81">
        <f t="shared" si="3"/>
        <v>0.64</v>
      </c>
      <c r="J1559" s="81">
        <f t="shared" si="4"/>
        <v>0.6097560976</v>
      </c>
    </row>
    <row r="1560">
      <c r="A1560" s="82">
        <v>44769.0</v>
      </c>
      <c r="B1560" s="66">
        <v>2345.0</v>
      </c>
      <c r="C1560" s="66">
        <v>2.0</v>
      </c>
      <c r="D1560" s="66" t="s">
        <v>205</v>
      </c>
      <c r="E1560" s="66">
        <v>1.0</v>
      </c>
      <c r="F1560" s="66">
        <v>1.419</v>
      </c>
      <c r="G1560" s="66">
        <v>0.914</v>
      </c>
      <c r="H1560" s="66" t="s">
        <v>237</v>
      </c>
      <c r="I1560" s="81">
        <f t="shared" si="3"/>
        <v>0.5525164114</v>
      </c>
      <c r="J1560" s="81">
        <f t="shared" si="4"/>
        <v>0.6441155743</v>
      </c>
    </row>
    <row r="1561">
      <c r="A1561" s="82">
        <v>44769.0</v>
      </c>
      <c r="B1561" s="66">
        <v>2345.0</v>
      </c>
      <c r="C1561" s="66">
        <v>2.0</v>
      </c>
      <c r="D1561" s="66" t="s">
        <v>204</v>
      </c>
      <c r="E1561" s="66">
        <v>1.0</v>
      </c>
      <c r="F1561" s="66">
        <v>0.371</v>
      </c>
      <c r="G1561" s="66">
        <v>0.225</v>
      </c>
      <c r="H1561" s="66" t="s">
        <v>237</v>
      </c>
      <c r="I1561" s="81">
        <f t="shared" si="3"/>
        <v>0.6488888889</v>
      </c>
      <c r="J1561" s="81">
        <f t="shared" si="4"/>
        <v>0.6064690027</v>
      </c>
    </row>
    <row r="1562">
      <c r="A1562" s="82">
        <v>44769.0</v>
      </c>
      <c r="B1562" s="66">
        <v>2011.0</v>
      </c>
      <c r="C1562" s="66">
        <v>1.0</v>
      </c>
      <c r="D1562" s="66" t="s">
        <v>205</v>
      </c>
      <c r="E1562" s="66">
        <v>0.0</v>
      </c>
      <c r="F1562" s="66">
        <v>1.748</v>
      </c>
      <c r="G1562" s="66">
        <v>1.029</v>
      </c>
      <c r="H1562" s="66" t="s">
        <v>236</v>
      </c>
      <c r="I1562" s="81">
        <f t="shared" si="3"/>
        <v>0.6987366375</v>
      </c>
      <c r="J1562" s="81">
        <f t="shared" si="4"/>
        <v>0.5886727689</v>
      </c>
    </row>
    <row r="1563">
      <c r="A1563" s="82">
        <v>44769.0</v>
      </c>
      <c r="B1563" s="66">
        <v>2011.0</v>
      </c>
      <c r="C1563" s="66">
        <v>1.0</v>
      </c>
      <c r="D1563" s="66" t="s">
        <v>204</v>
      </c>
      <c r="E1563" s="66">
        <v>0.0</v>
      </c>
      <c r="F1563" s="66">
        <v>0.301</v>
      </c>
      <c r="G1563" s="66">
        <v>0.17</v>
      </c>
      <c r="H1563" s="66" t="s">
        <v>236</v>
      </c>
      <c r="I1563" s="81">
        <f t="shared" si="3"/>
        <v>0.7705882353</v>
      </c>
      <c r="J1563" s="81">
        <f t="shared" si="4"/>
        <v>0.5647840532</v>
      </c>
    </row>
    <row r="1564">
      <c r="A1564" s="82">
        <v>44769.0</v>
      </c>
      <c r="B1564" s="66">
        <v>2331.0</v>
      </c>
      <c r="C1564" s="66">
        <v>2.0</v>
      </c>
      <c r="D1564" s="66" t="s">
        <v>205</v>
      </c>
      <c r="E1564" s="66">
        <v>1.0</v>
      </c>
      <c r="F1564" s="66">
        <v>1.1</v>
      </c>
      <c r="G1564" s="66">
        <v>0.723</v>
      </c>
      <c r="H1564" s="66" t="s">
        <v>237</v>
      </c>
      <c r="I1564" s="81">
        <f t="shared" si="3"/>
        <v>0.5214384509</v>
      </c>
      <c r="J1564" s="81">
        <f t="shared" si="4"/>
        <v>0.6572727273</v>
      </c>
    </row>
    <row r="1565">
      <c r="A1565" s="82">
        <v>44769.0</v>
      </c>
      <c r="B1565" s="66">
        <v>2331.0</v>
      </c>
      <c r="C1565" s="66">
        <v>2.0</v>
      </c>
      <c r="D1565" s="66" t="s">
        <v>204</v>
      </c>
      <c r="E1565" s="66">
        <v>1.0</v>
      </c>
      <c r="F1565" s="66">
        <v>0.453</v>
      </c>
      <c r="G1565" s="66">
        <v>0.289</v>
      </c>
      <c r="H1565" s="66" t="s">
        <v>237</v>
      </c>
      <c r="I1565" s="81">
        <f t="shared" si="3"/>
        <v>0.5674740484</v>
      </c>
      <c r="J1565" s="81">
        <f t="shared" si="4"/>
        <v>0.6379690949</v>
      </c>
    </row>
    <row r="1566">
      <c r="A1566" s="82">
        <v>44769.0</v>
      </c>
      <c r="B1566" s="66">
        <v>2384.0</v>
      </c>
      <c r="C1566" s="66">
        <v>1.0</v>
      </c>
      <c r="D1566" s="66" t="s">
        <v>238</v>
      </c>
      <c r="E1566" s="66">
        <v>0.0</v>
      </c>
      <c r="F1566" s="66">
        <v>1.196</v>
      </c>
      <c r="G1566" s="66">
        <v>0.705</v>
      </c>
      <c r="H1566" s="66" t="s">
        <v>236</v>
      </c>
      <c r="I1566" s="81">
        <f t="shared" si="3"/>
        <v>0.6964539007</v>
      </c>
      <c r="J1566" s="81">
        <f t="shared" si="4"/>
        <v>0.5894648829</v>
      </c>
    </row>
    <row r="1567">
      <c r="A1567" s="82">
        <v>44769.0</v>
      </c>
      <c r="B1567" s="66">
        <v>2384.0</v>
      </c>
      <c r="C1567" s="66">
        <v>1.0</v>
      </c>
      <c r="D1567" s="66" t="s">
        <v>204</v>
      </c>
      <c r="E1567" s="66">
        <v>0.0</v>
      </c>
      <c r="F1567" s="66">
        <v>0.146</v>
      </c>
      <c r="G1567" s="66">
        <v>0.088</v>
      </c>
      <c r="H1567" s="66" t="s">
        <v>236</v>
      </c>
      <c r="I1567" s="81">
        <f t="shared" si="3"/>
        <v>0.6590909091</v>
      </c>
      <c r="J1567" s="81">
        <f t="shared" si="4"/>
        <v>0.602739726</v>
      </c>
    </row>
    <row r="1568">
      <c r="A1568" s="82">
        <v>44769.0</v>
      </c>
      <c r="B1568" s="66">
        <v>2381.0</v>
      </c>
      <c r="C1568" s="66">
        <v>2.0</v>
      </c>
      <c r="D1568" s="66" t="s">
        <v>205</v>
      </c>
      <c r="E1568" s="66">
        <v>0.0</v>
      </c>
      <c r="F1568" s="66">
        <v>2.111</v>
      </c>
      <c r="G1568" s="66">
        <v>1.2</v>
      </c>
      <c r="H1568" s="66" t="s">
        <v>236</v>
      </c>
      <c r="I1568" s="81">
        <f t="shared" si="3"/>
        <v>0.7591666667</v>
      </c>
      <c r="J1568" s="81">
        <f t="shared" si="4"/>
        <v>0.5684509711</v>
      </c>
    </row>
    <row r="1569">
      <c r="A1569" s="82">
        <v>44769.0</v>
      </c>
      <c r="B1569" s="66">
        <v>2381.0</v>
      </c>
      <c r="C1569" s="66">
        <v>2.0</v>
      </c>
      <c r="D1569" s="66" t="s">
        <v>204</v>
      </c>
      <c r="E1569" s="66">
        <v>0.0</v>
      </c>
      <c r="F1569" s="66">
        <v>0.193</v>
      </c>
      <c r="G1569" s="66">
        <v>0.115</v>
      </c>
      <c r="H1569" s="66" t="s">
        <v>236</v>
      </c>
      <c r="I1569" s="81">
        <f t="shared" si="3"/>
        <v>0.6782608696</v>
      </c>
      <c r="J1569" s="81">
        <f t="shared" si="4"/>
        <v>0.5958549223</v>
      </c>
    </row>
    <row r="1570">
      <c r="A1570" s="82">
        <v>44769.0</v>
      </c>
      <c r="B1570" s="66">
        <v>2381.0</v>
      </c>
      <c r="C1570" s="66">
        <v>1.0</v>
      </c>
      <c r="D1570" s="66" t="s">
        <v>205</v>
      </c>
      <c r="E1570" s="66">
        <v>0.0</v>
      </c>
      <c r="F1570" s="66">
        <v>1.434</v>
      </c>
      <c r="G1570" s="66">
        <v>0.851</v>
      </c>
      <c r="H1570" s="66" t="s">
        <v>236</v>
      </c>
      <c r="I1570" s="81">
        <f t="shared" si="3"/>
        <v>0.6850763807</v>
      </c>
      <c r="J1570" s="81">
        <f t="shared" si="4"/>
        <v>0.5934449093</v>
      </c>
    </row>
    <row r="1571">
      <c r="A1571" s="82">
        <v>44769.0</v>
      </c>
      <c r="B1571" s="66">
        <v>2381.0</v>
      </c>
      <c r="C1571" s="66">
        <v>1.0</v>
      </c>
      <c r="D1571" s="66" t="s">
        <v>204</v>
      </c>
      <c r="E1571" s="66">
        <v>0.0</v>
      </c>
      <c r="F1571" s="66">
        <v>0.177</v>
      </c>
      <c r="G1571" s="66">
        <v>0.107</v>
      </c>
      <c r="H1571" s="66" t="s">
        <v>236</v>
      </c>
      <c r="I1571" s="81">
        <f t="shared" si="3"/>
        <v>0.6542056075</v>
      </c>
      <c r="J1571" s="81">
        <f t="shared" si="4"/>
        <v>0.604519774</v>
      </c>
    </row>
    <row r="1572">
      <c r="A1572" s="82">
        <v>44769.0</v>
      </c>
      <c r="B1572" s="66">
        <v>2011.0</v>
      </c>
      <c r="C1572" s="66">
        <v>2.0</v>
      </c>
      <c r="D1572" s="66" t="s">
        <v>205</v>
      </c>
      <c r="E1572" s="66">
        <v>0.0</v>
      </c>
      <c r="F1572" s="66">
        <v>1.573</v>
      </c>
      <c r="G1572" s="66">
        <v>0.948</v>
      </c>
      <c r="H1572" s="66" t="s">
        <v>236</v>
      </c>
      <c r="I1572" s="81">
        <f t="shared" si="3"/>
        <v>0.6592827004</v>
      </c>
      <c r="J1572" s="81">
        <f t="shared" si="4"/>
        <v>0.6026700572</v>
      </c>
    </row>
    <row r="1573">
      <c r="A1573" s="82">
        <v>44769.0</v>
      </c>
      <c r="B1573" s="66">
        <v>2011.0</v>
      </c>
      <c r="C1573" s="66">
        <v>2.0</v>
      </c>
      <c r="D1573" s="66" t="s">
        <v>204</v>
      </c>
      <c r="E1573" s="66">
        <v>0.0</v>
      </c>
      <c r="F1573" s="66">
        <v>0.25</v>
      </c>
      <c r="G1573" s="66">
        <v>0.117</v>
      </c>
      <c r="H1573" s="66" t="s">
        <v>236</v>
      </c>
      <c r="I1573" s="81">
        <f t="shared" si="3"/>
        <v>1.136752137</v>
      </c>
      <c r="J1573" s="81">
        <f t="shared" si="4"/>
        <v>0.468</v>
      </c>
    </row>
    <row r="1574">
      <c r="A1574" s="82">
        <v>44769.0</v>
      </c>
      <c r="B1574" s="66">
        <v>2379.0</v>
      </c>
      <c r="C1574" s="66">
        <v>2.0</v>
      </c>
      <c r="D1574" s="66" t="s">
        <v>205</v>
      </c>
      <c r="E1574" s="66">
        <v>0.0</v>
      </c>
      <c r="F1574" s="66">
        <v>1.147</v>
      </c>
      <c r="G1574" s="66">
        <v>0.681</v>
      </c>
      <c r="H1574" s="66" t="s">
        <v>236</v>
      </c>
      <c r="I1574" s="81">
        <f t="shared" si="3"/>
        <v>0.684287812</v>
      </c>
      <c r="J1574" s="81">
        <f t="shared" si="4"/>
        <v>0.593722755</v>
      </c>
    </row>
    <row r="1575">
      <c r="A1575" s="82">
        <v>44769.0</v>
      </c>
      <c r="B1575" s="66">
        <v>2379.0</v>
      </c>
      <c r="C1575" s="66">
        <v>2.0</v>
      </c>
      <c r="D1575" s="66" t="s">
        <v>204</v>
      </c>
      <c r="E1575" s="66">
        <v>0.0</v>
      </c>
      <c r="F1575" s="66">
        <v>0.104</v>
      </c>
      <c r="G1575" s="66">
        <v>0.039</v>
      </c>
      <c r="H1575" s="66" t="s">
        <v>236</v>
      </c>
      <c r="I1575" s="81">
        <f t="shared" si="3"/>
        <v>1.666666667</v>
      </c>
      <c r="J1575" s="81">
        <f t="shared" si="4"/>
        <v>0.375</v>
      </c>
    </row>
    <row r="1576">
      <c r="A1576" s="82">
        <v>44769.0</v>
      </c>
      <c r="B1576" s="66">
        <v>2369.0</v>
      </c>
      <c r="C1576" s="66">
        <v>2.0</v>
      </c>
      <c r="D1576" s="66" t="s">
        <v>205</v>
      </c>
      <c r="E1576" s="66">
        <v>0.0</v>
      </c>
      <c r="F1576" s="66">
        <v>1.736</v>
      </c>
      <c r="G1576" s="66">
        <v>1.025</v>
      </c>
      <c r="H1576" s="66" t="s">
        <v>236</v>
      </c>
      <c r="I1576" s="81">
        <f t="shared" si="3"/>
        <v>0.6936585366</v>
      </c>
      <c r="J1576" s="81">
        <f t="shared" si="4"/>
        <v>0.590437788</v>
      </c>
    </row>
    <row r="1577">
      <c r="A1577" s="82">
        <v>44769.0</v>
      </c>
      <c r="B1577" s="66">
        <v>2369.0</v>
      </c>
      <c r="C1577" s="66">
        <v>2.0</v>
      </c>
      <c r="D1577" s="66" t="s">
        <v>204</v>
      </c>
      <c r="E1577" s="66">
        <v>0.0</v>
      </c>
      <c r="F1577" s="66">
        <v>0.11</v>
      </c>
      <c r="G1577" s="66">
        <v>0.068</v>
      </c>
      <c r="H1577" s="66" t="s">
        <v>236</v>
      </c>
      <c r="I1577" s="81">
        <f t="shared" si="3"/>
        <v>0.6176470588</v>
      </c>
      <c r="J1577" s="81">
        <f t="shared" si="4"/>
        <v>0.6181818182</v>
      </c>
    </row>
    <row r="1578">
      <c r="A1578" s="82">
        <v>44769.0</v>
      </c>
      <c r="B1578" s="66">
        <v>2365.0</v>
      </c>
      <c r="C1578" s="66">
        <v>1.0</v>
      </c>
      <c r="D1578" s="66" t="s">
        <v>205</v>
      </c>
      <c r="E1578" s="66">
        <v>0.0</v>
      </c>
      <c r="F1578" s="66">
        <v>2.15</v>
      </c>
      <c r="G1578" s="66">
        <v>1.243</v>
      </c>
      <c r="H1578" s="66" t="s">
        <v>236</v>
      </c>
      <c r="I1578" s="81">
        <f t="shared" si="3"/>
        <v>0.729686243</v>
      </c>
      <c r="J1578" s="81">
        <f t="shared" si="4"/>
        <v>0.5781395349</v>
      </c>
    </row>
    <row r="1579">
      <c r="A1579" s="82">
        <v>44769.0</v>
      </c>
      <c r="B1579" s="66">
        <v>2365.0</v>
      </c>
      <c r="C1579" s="66">
        <v>1.0</v>
      </c>
      <c r="D1579" s="66" t="s">
        <v>204</v>
      </c>
      <c r="E1579" s="66">
        <v>0.0</v>
      </c>
      <c r="F1579" s="66">
        <v>0.381</v>
      </c>
      <c r="G1579" s="66">
        <v>0.239</v>
      </c>
      <c r="H1579" s="66" t="s">
        <v>236</v>
      </c>
      <c r="I1579" s="81">
        <f t="shared" si="3"/>
        <v>0.5941422594</v>
      </c>
      <c r="J1579" s="81">
        <f t="shared" si="4"/>
        <v>0.6272965879</v>
      </c>
    </row>
    <row r="1580">
      <c r="A1580" s="82">
        <v>44769.0</v>
      </c>
      <c r="B1580" s="66">
        <v>2382.0</v>
      </c>
      <c r="C1580" s="66">
        <v>1.0</v>
      </c>
      <c r="D1580" s="66" t="s">
        <v>238</v>
      </c>
      <c r="E1580" s="66">
        <v>0.0</v>
      </c>
      <c r="F1580" s="66">
        <v>2.663</v>
      </c>
      <c r="G1580" s="66">
        <v>1.615</v>
      </c>
      <c r="H1580" s="66" t="s">
        <v>236</v>
      </c>
      <c r="I1580" s="81">
        <f t="shared" si="3"/>
        <v>0.6489164087</v>
      </c>
      <c r="J1580" s="81">
        <f t="shared" si="4"/>
        <v>0.606458881</v>
      </c>
    </row>
    <row r="1581">
      <c r="A1581" s="82">
        <v>44769.0</v>
      </c>
      <c r="B1581" s="66">
        <v>2382.0</v>
      </c>
      <c r="C1581" s="66">
        <v>1.0</v>
      </c>
      <c r="D1581" s="66" t="s">
        <v>204</v>
      </c>
      <c r="E1581" s="66">
        <v>0.0</v>
      </c>
      <c r="F1581" s="66">
        <v>0.237</v>
      </c>
      <c r="G1581" s="66">
        <v>0.143</v>
      </c>
      <c r="H1581" s="66" t="s">
        <v>236</v>
      </c>
      <c r="I1581" s="81">
        <f t="shared" si="3"/>
        <v>0.6573426573</v>
      </c>
      <c r="J1581" s="81">
        <f t="shared" si="4"/>
        <v>0.6033755274</v>
      </c>
    </row>
    <row r="1582">
      <c r="A1582" s="82">
        <v>44769.0</v>
      </c>
      <c r="B1582" s="66">
        <v>2352.0</v>
      </c>
      <c r="C1582" s="66">
        <v>2.0</v>
      </c>
      <c r="D1582" s="66" t="s">
        <v>205</v>
      </c>
      <c r="E1582" s="66">
        <v>0.0</v>
      </c>
      <c r="F1582" s="66">
        <v>0.763</v>
      </c>
      <c r="G1582" s="66">
        <v>0.466</v>
      </c>
      <c r="H1582" s="66" t="s">
        <v>237</v>
      </c>
      <c r="I1582" s="81">
        <f t="shared" si="3"/>
        <v>0.6373390558</v>
      </c>
      <c r="J1582" s="81">
        <f t="shared" si="4"/>
        <v>0.6107470511</v>
      </c>
    </row>
    <row r="1583">
      <c r="A1583" s="82">
        <v>44769.0</v>
      </c>
      <c r="B1583" s="66">
        <v>2352.0</v>
      </c>
      <c r="C1583" s="66">
        <v>2.0</v>
      </c>
      <c r="D1583" s="66" t="s">
        <v>204</v>
      </c>
      <c r="E1583" s="66">
        <v>0.0</v>
      </c>
      <c r="F1583" s="66">
        <v>0.063</v>
      </c>
      <c r="G1583" s="66">
        <v>0.036</v>
      </c>
      <c r="H1583" s="66" t="s">
        <v>237</v>
      </c>
      <c r="I1583" s="81">
        <f t="shared" si="3"/>
        <v>0.75</v>
      </c>
      <c r="J1583" s="81">
        <f t="shared" si="4"/>
        <v>0.5714285714</v>
      </c>
    </row>
    <row r="1584">
      <c r="A1584" s="82">
        <v>44769.0</v>
      </c>
      <c r="B1584" s="66">
        <v>2375.0</v>
      </c>
      <c r="C1584" s="66">
        <v>2.0</v>
      </c>
      <c r="D1584" s="66" t="s">
        <v>205</v>
      </c>
      <c r="E1584" s="66">
        <v>0.0</v>
      </c>
      <c r="F1584" s="66">
        <v>2.217</v>
      </c>
      <c r="G1584" s="66">
        <v>1.27</v>
      </c>
      <c r="H1584" s="66" t="s">
        <v>236</v>
      </c>
      <c r="I1584" s="81">
        <f t="shared" si="3"/>
        <v>0.7456692913</v>
      </c>
      <c r="J1584" s="81">
        <f t="shared" si="4"/>
        <v>0.5728461885</v>
      </c>
    </row>
    <row r="1585">
      <c r="A1585" s="82">
        <v>44769.0</v>
      </c>
      <c r="B1585" s="66">
        <v>2375.0</v>
      </c>
      <c r="C1585" s="66">
        <v>2.0</v>
      </c>
      <c r="D1585" s="66" t="s">
        <v>204</v>
      </c>
      <c r="E1585" s="66">
        <v>0.0</v>
      </c>
      <c r="F1585" s="66">
        <v>0.763</v>
      </c>
      <c r="G1585" s="66">
        <v>0.443</v>
      </c>
      <c r="H1585" s="66" t="s">
        <v>236</v>
      </c>
      <c r="I1585" s="81">
        <f t="shared" si="3"/>
        <v>0.7223476298</v>
      </c>
      <c r="J1585" s="81">
        <f t="shared" si="4"/>
        <v>0.5806028834</v>
      </c>
    </row>
    <row r="1586">
      <c r="A1586" s="82">
        <v>44769.0</v>
      </c>
      <c r="B1586" s="66">
        <v>2371.0</v>
      </c>
      <c r="C1586" s="66">
        <v>1.0</v>
      </c>
      <c r="D1586" s="66" t="s">
        <v>205</v>
      </c>
      <c r="E1586" s="66">
        <v>0.0</v>
      </c>
      <c r="F1586" s="66">
        <v>2.456</v>
      </c>
      <c r="G1586" s="66">
        <v>1.421</v>
      </c>
      <c r="H1586" s="66" t="s">
        <v>236</v>
      </c>
      <c r="I1586" s="81">
        <f t="shared" si="3"/>
        <v>0.7283603096</v>
      </c>
      <c r="J1586" s="81">
        <f t="shared" si="4"/>
        <v>0.5785830619</v>
      </c>
    </row>
    <row r="1587">
      <c r="A1587" s="82">
        <v>44769.0</v>
      </c>
      <c r="B1587" s="66">
        <v>2371.0</v>
      </c>
      <c r="C1587" s="66">
        <v>1.0</v>
      </c>
      <c r="D1587" s="66" t="s">
        <v>204</v>
      </c>
      <c r="E1587" s="66">
        <v>0.0</v>
      </c>
      <c r="F1587" s="66">
        <v>0.497</v>
      </c>
      <c r="G1587" s="66">
        <v>0.281</v>
      </c>
      <c r="H1587" s="66" t="s">
        <v>236</v>
      </c>
      <c r="I1587" s="81">
        <f t="shared" si="3"/>
        <v>0.768683274</v>
      </c>
      <c r="J1587" s="81">
        <f t="shared" si="4"/>
        <v>0.5653923541</v>
      </c>
    </row>
    <row r="1588">
      <c r="A1588" s="82">
        <v>44769.0</v>
      </c>
      <c r="B1588" s="66">
        <v>2354.0</v>
      </c>
      <c r="C1588" s="66">
        <v>1.0</v>
      </c>
      <c r="D1588" s="66" t="s">
        <v>205</v>
      </c>
      <c r="E1588" s="66">
        <v>1.0</v>
      </c>
      <c r="F1588" s="66">
        <v>0.797</v>
      </c>
      <c r="G1588" s="66">
        <v>0.528</v>
      </c>
      <c r="H1588" s="66" t="s">
        <v>237</v>
      </c>
      <c r="I1588" s="81">
        <f t="shared" si="3"/>
        <v>0.509469697</v>
      </c>
      <c r="J1588" s="81">
        <f t="shared" si="4"/>
        <v>0.6624843162</v>
      </c>
    </row>
    <row r="1589">
      <c r="A1589" s="82">
        <v>44769.0</v>
      </c>
      <c r="B1589" s="66">
        <v>2354.0</v>
      </c>
      <c r="C1589" s="66">
        <v>1.0</v>
      </c>
      <c r="D1589" s="66" t="s">
        <v>204</v>
      </c>
      <c r="E1589" s="66">
        <v>1.0</v>
      </c>
      <c r="F1589" s="66">
        <v>0.855</v>
      </c>
      <c r="G1589" s="66">
        <v>0.455</v>
      </c>
      <c r="H1589" s="66" t="s">
        <v>237</v>
      </c>
      <c r="I1589" s="81">
        <f t="shared" si="3"/>
        <v>0.8791208791</v>
      </c>
      <c r="J1589" s="81">
        <f t="shared" si="4"/>
        <v>0.5321637427</v>
      </c>
    </row>
    <row r="1590">
      <c r="A1590" s="82">
        <v>44769.0</v>
      </c>
      <c r="B1590" s="66">
        <v>2343.0</v>
      </c>
      <c r="C1590" s="66">
        <v>1.0</v>
      </c>
      <c r="D1590" s="66" t="s">
        <v>205</v>
      </c>
      <c r="E1590" s="66">
        <v>0.0</v>
      </c>
      <c r="F1590" s="66">
        <v>0.737</v>
      </c>
      <c r="G1590" s="66">
        <v>0.463</v>
      </c>
      <c r="H1590" s="66" t="s">
        <v>236</v>
      </c>
      <c r="I1590" s="81">
        <f t="shared" si="3"/>
        <v>0.5917926566</v>
      </c>
      <c r="J1590" s="81">
        <f t="shared" si="4"/>
        <v>0.6282225237</v>
      </c>
    </row>
    <row r="1591">
      <c r="A1591" s="82">
        <v>44769.0</v>
      </c>
      <c r="B1591" s="66">
        <v>2343.0</v>
      </c>
      <c r="C1591" s="66">
        <v>1.0</v>
      </c>
      <c r="D1591" s="66" t="s">
        <v>204</v>
      </c>
      <c r="E1591" s="66">
        <v>0.0</v>
      </c>
      <c r="F1591" s="66">
        <v>0.256</v>
      </c>
      <c r="G1591" s="66">
        <v>0.119</v>
      </c>
      <c r="H1591" s="66" t="s">
        <v>236</v>
      </c>
      <c r="I1591" s="81">
        <f t="shared" si="3"/>
        <v>1.151260504</v>
      </c>
      <c r="J1591" s="81">
        <f t="shared" si="4"/>
        <v>0.46484375</v>
      </c>
    </row>
    <row r="1592">
      <c r="A1592" s="82">
        <v>44769.0</v>
      </c>
      <c r="B1592" s="66">
        <v>2010.0</v>
      </c>
      <c r="C1592" s="66">
        <v>2.0</v>
      </c>
      <c r="D1592" s="66" t="s">
        <v>205</v>
      </c>
      <c r="E1592" s="66">
        <v>0.0</v>
      </c>
      <c r="F1592" s="66">
        <v>1.724</v>
      </c>
      <c r="G1592" s="66">
        <v>0.98</v>
      </c>
      <c r="H1592" s="66" t="s">
        <v>236</v>
      </c>
      <c r="I1592" s="81">
        <f t="shared" si="3"/>
        <v>0.7591836735</v>
      </c>
      <c r="J1592" s="81">
        <f t="shared" si="4"/>
        <v>0.5684454756</v>
      </c>
    </row>
    <row r="1593">
      <c r="A1593" s="82">
        <v>44769.0</v>
      </c>
      <c r="B1593" s="66">
        <v>2010.0</v>
      </c>
      <c r="C1593" s="66">
        <v>2.0</v>
      </c>
      <c r="D1593" s="66" t="s">
        <v>204</v>
      </c>
      <c r="E1593" s="66">
        <v>0.0</v>
      </c>
      <c r="F1593" s="66">
        <v>0.213</v>
      </c>
      <c r="G1593" s="66">
        <v>0.121</v>
      </c>
      <c r="H1593" s="66" t="s">
        <v>236</v>
      </c>
      <c r="I1593" s="81">
        <f t="shared" si="3"/>
        <v>0.7603305785</v>
      </c>
      <c r="J1593" s="81">
        <f t="shared" si="4"/>
        <v>0.5680751174</v>
      </c>
    </row>
    <row r="1594">
      <c r="A1594" s="82">
        <v>44769.0</v>
      </c>
      <c r="B1594" s="66">
        <v>2352.0</v>
      </c>
      <c r="C1594" s="66">
        <v>1.0</v>
      </c>
      <c r="D1594" s="66" t="s">
        <v>238</v>
      </c>
      <c r="E1594" s="66">
        <v>1.0</v>
      </c>
      <c r="F1594" s="66">
        <v>1.532</v>
      </c>
      <c r="G1594" s="66">
        <v>1.035</v>
      </c>
      <c r="H1594" s="66" t="s">
        <v>237</v>
      </c>
      <c r="I1594" s="81">
        <f t="shared" si="3"/>
        <v>0.4801932367</v>
      </c>
      <c r="J1594" s="81">
        <f t="shared" si="4"/>
        <v>0.6755874674</v>
      </c>
    </row>
    <row r="1595">
      <c r="A1595" s="82">
        <v>44769.0</v>
      </c>
      <c r="B1595" s="66">
        <v>2352.0</v>
      </c>
      <c r="C1595" s="66">
        <v>1.0</v>
      </c>
      <c r="D1595" s="66" t="s">
        <v>204</v>
      </c>
      <c r="E1595" s="66">
        <v>1.0</v>
      </c>
      <c r="F1595" s="66">
        <v>0.868</v>
      </c>
      <c r="G1595" s="66">
        <v>0.534</v>
      </c>
      <c r="H1595" s="66" t="s">
        <v>237</v>
      </c>
      <c r="I1595" s="81">
        <f t="shared" si="3"/>
        <v>0.6254681648</v>
      </c>
      <c r="J1595" s="81">
        <f t="shared" si="4"/>
        <v>0.6152073733</v>
      </c>
    </row>
    <row r="1596">
      <c r="A1596" s="82">
        <v>44769.0</v>
      </c>
      <c r="B1596" s="66">
        <v>2378.0</v>
      </c>
      <c r="C1596" s="66">
        <v>1.0</v>
      </c>
      <c r="D1596" s="66" t="s">
        <v>238</v>
      </c>
      <c r="E1596" s="66">
        <v>0.0</v>
      </c>
      <c r="F1596" s="66">
        <v>2.063</v>
      </c>
      <c r="G1596" s="66">
        <v>1.186</v>
      </c>
      <c r="H1596" s="66" t="s">
        <v>236</v>
      </c>
      <c r="I1596" s="81">
        <f t="shared" si="3"/>
        <v>0.739460371</v>
      </c>
      <c r="J1596" s="81">
        <f t="shared" si="4"/>
        <v>0.5748909355</v>
      </c>
    </row>
    <row r="1597">
      <c r="A1597" s="82">
        <v>44769.0</v>
      </c>
      <c r="B1597" s="66">
        <v>2378.0</v>
      </c>
      <c r="C1597" s="66">
        <v>1.0</v>
      </c>
      <c r="D1597" s="66" t="s">
        <v>204</v>
      </c>
      <c r="E1597" s="66">
        <v>0.0</v>
      </c>
      <c r="F1597" s="66">
        <v>0.289</v>
      </c>
      <c r="G1597" s="66">
        <v>0.175</v>
      </c>
      <c r="H1597" s="66" t="s">
        <v>236</v>
      </c>
      <c r="I1597" s="81">
        <f t="shared" si="3"/>
        <v>0.6514285714</v>
      </c>
      <c r="J1597" s="81">
        <f t="shared" si="4"/>
        <v>0.6055363322</v>
      </c>
    </row>
    <row r="1598">
      <c r="A1598" s="82">
        <v>44769.0</v>
      </c>
      <c r="B1598" s="66">
        <v>2365.0</v>
      </c>
      <c r="C1598" s="66">
        <v>2.0</v>
      </c>
      <c r="D1598" s="66" t="s">
        <v>205</v>
      </c>
      <c r="E1598" s="66">
        <v>0.0</v>
      </c>
      <c r="F1598" s="66">
        <v>0.513</v>
      </c>
      <c r="G1598" s="66">
        <v>0.286</v>
      </c>
      <c r="H1598" s="66" t="s">
        <v>236</v>
      </c>
      <c r="I1598" s="81">
        <f t="shared" si="3"/>
        <v>0.7937062937</v>
      </c>
      <c r="J1598" s="81">
        <f t="shared" si="4"/>
        <v>0.5575048733</v>
      </c>
    </row>
    <row r="1599">
      <c r="A1599" s="82">
        <v>44769.0</v>
      </c>
      <c r="B1599" s="66">
        <v>2365.0</v>
      </c>
      <c r="C1599" s="66">
        <v>2.0</v>
      </c>
      <c r="D1599" s="66" t="s">
        <v>204</v>
      </c>
      <c r="E1599" s="66">
        <v>0.0</v>
      </c>
      <c r="F1599" s="66">
        <v>0.052</v>
      </c>
      <c r="G1599" s="66">
        <v>0.031</v>
      </c>
      <c r="H1599" s="66" t="s">
        <v>236</v>
      </c>
      <c r="I1599" s="81">
        <f t="shared" si="3"/>
        <v>0.6774193548</v>
      </c>
      <c r="J1599" s="81">
        <f t="shared" si="4"/>
        <v>0.5961538462</v>
      </c>
    </row>
    <row r="1600">
      <c r="A1600" s="82">
        <v>44769.0</v>
      </c>
      <c r="B1600" s="66">
        <v>2372.0</v>
      </c>
      <c r="C1600" s="66">
        <v>2.0</v>
      </c>
      <c r="D1600" s="66" t="s">
        <v>205</v>
      </c>
      <c r="E1600" s="66">
        <v>0.0</v>
      </c>
      <c r="F1600" s="66">
        <v>1.345</v>
      </c>
      <c r="G1600" s="66">
        <v>0.756</v>
      </c>
      <c r="H1600" s="66" t="s">
        <v>236</v>
      </c>
      <c r="I1600" s="81">
        <f t="shared" si="3"/>
        <v>0.7791005291</v>
      </c>
      <c r="J1600" s="81">
        <f t="shared" si="4"/>
        <v>0.5620817844</v>
      </c>
    </row>
    <row r="1601">
      <c r="A1601" s="82">
        <v>44769.0</v>
      </c>
      <c r="B1601" s="66">
        <v>2372.0</v>
      </c>
      <c r="C1601" s="66">
        <v>2.0</v>
      </c>
      <c r="D1601" s="66" t="s">
        <v>204</v>
      </c>
      <c r="E1601" s="66">
        <v>0.0</v>
      </c>
      <c r="F1601" s="66">
        <v>0.188</v>
      </c>
      <c r="G1601" s="85">
        <v>0.072</v>
      </c>
      <c r="H1601" s="66" t="s">
        <v>239</v>
      </c>
      <c r="I1601" s="81">
        <f t="shared" si="3"/>
        <v>1.611111111</v>
      </c>
      <c r="J1601" s="81">
        <f t="shared" si="4"/>
        <v>0.3829787234</v>
      </c>
    </row>
    <row r="1602">
      <c r="A1602" s="82">
        <v>44769.0</v>
      </c>
      <c r="B1602" s="66">
        <v>2010.0</v>
      </c>
      <c r="C1602" s="66">
        <v>1.0</v>
      </c>
      <c r="D1602" s="66" t="s">
        <v>205</v>
      </c>
      <c r="E1602" s="66">
        <v>0.0</v>
      </c>
      <c r="F1602" s="66">
        <v>1.679</v>
      </c>
      <c r="G1602" s="66">
        <v>0.957</v>
      </c>
      <c r="H1602" s="66" t="s">
        <v>236</v>
      </c>
      <c r="I1602" s="81">
        <f t="shared" si="3"/>
        <v>0.7544409613</v>
      </c>
      <c r="J1602" s="81">
        <f t="shared" si="4"/>
        <v>0.5699821322</v>
      </c>
    </row>
    <row r="1603">
      <c r="A1603" s="82">
        <v>44769.0</v>
      </c>
      <c r="B1603" s="66">
        <v>2010.0</v>
      </c>
      <c r="C1603" s="66">
        <v>1.0</v>
      </c>
      <c r="D1603" s="66" t="s">
        <v>204</v>
      </c>
      <c r="E1603" s="66">
        <v>0.0</v>
      </c>
      <c r="F1603" s="66">
        <v>0.312</v>
      </c>
      <c r="G1603" s="66">
        <v>0.181</v>
      </c>
      <c r="H1603" s="66" t="s">
        <v>236</v>
      </c>
      <c r="I1603" s="81">
        <f t="shared" si="3"/>
        <v>0.7237569061</v>
      </c>
      <c r="J1603" s="81">
        <f t="shared" si="4"/>
        <v>0.5801282051</v>
      </c>
    </row>
    <row r="1604">
      <c r="A1604" s="82">
        <v>44769.0</v>
      </c>
      <c r="B1604" s="66">
        <v>2352.0</v>
      </c>
      <c r="C1604" s="66">
        <v>2.0</v>
      </c>
      <c r="D1604" s="66" t="s">
        <v>205</v>
      </c>
      <c r="E1604" s="66">
        <v>1.0</v>
      </c>
      <c r="F1604" s="66">
        <v>0.818</v>
      </c>
      <c r="G1604" s="66">
        <v>0.54</v>
      </c>
      <c r="H1604" s="66" t="s">
        <v>237</v>
      </c>
      <c r="I1604" s="81">
        <f t="shared" si="3"/>
        <v>0.5148148148</v>
      </c>
      <c r="J1604" s="81">
        <f t="shared" si="4"/>
        <v>0.6601466993</v>
      </c>
    </row>
    <row r="1605">
      <c r="A1605" s="82">
        <v>44769.0</v>
      </c>
      <c r="B1605" s="66">
        <v>2352.0</v>
      </c>
      <c r="C1605" s="66">
        <v>2.0</v>
      </c>
      <c r="D1605" s="66" t="s">
        <v>204</v>
      </c>
      <c r="E1605" s="66">
        <v>1.0</v>
      </c>
      <c r="F1605" s="66">
        <v>0.387</v>
      </c>
      <c r="G1605" s="66">
        <v>0.247</v>
      </c>
      <c r="H1605" s="66" t="s">
        <v>237</v>
      </c>
      <c r="I1605" s="81">
        <f t="shared" si="3"/>
        <v>0.5668016194</v>
      </c>
      <c r="J1605" s="81">
        <f t="shared" si="4"/>
        <v>0.6382428941</v>
      </c>
    </row>
    <row r="1606">
      <c r="A1606" s="82">
        <v>44769.0</v>
      </c>
      <c r="B1606" s="66">
        <v>2380.0</v>
      </c>
      <c r="C1606" s="66">
        <v>1.0</v>
      </c>
      <c r="D1606" s="66" t="s">
        <v>205</v>
      </c>
      <c r="E1606" s="66">
        <v>0.0</v>
      </c>
      <c r="F1606" s="66">
        <v>1.782</v>
      </c>
      <c r="G1606" s="66">
        <v>1.082</v>
      </c>
      <c r="H1606" s="66" t="s">
        <v>237</v>
      </c>
      <c r="I1606" s="81">
        <f t="shared" si="3"/>
        <v>0.6469500924</v>
      </c>
      <c r="J1606" s="81">
        <f t="shared" si="4"/>
        <v>0.6071829405</v>
      </c>
    </row>
    <row r="1607">
      <c r="A1607" s="82">
        <v>44769.0</v>
      </c>
      <c r="B1607" s="66">
        <v>2380.0</v>
      </c>
      <c r="C1607" s="66">
        <v>1.0</v>
      </c>
      <c r="D1607" s="66" t="s">
        <v>204</v>
      </c>
      <c r="E1607" s="66">
        <v>0.0</v>
      </c>
      <c r="F1607" s="66">
        <v>0.418</v>
      </c>
      <c r="G1607" s="66">
        <v>0.242</v>
      </c>
      <c r="H1607" s="66" t="s">
        <v>237</v>
      </c>
      <c r="I1607" s="81">
        <f t="shared" si="3"/>
        <v>0.7272727273</v>
      </c>
      <c r="J1607" s="81">
        <f t="shared" si="4"/>
        <v>0.5789473684</v>
      </c>
    </row>
    <row r="1608">
      <c r="A1608" s="82">
        <v>44769.0</v>
      </c>
      <c r="B1608" s="66">
        <v>2370.0</v>
      </c>
      <c r="C1608" s="66">
        <v>2.0</v>
      </c>
      <c r="D1608" s="66" t="s">
        <v>205</v>
      </c>
      <c r="E1608" s="66">
        <v>0.0</v>
      </c>
      <c r="F1608" s="66">
        <v>0.701</v>
      </c>
      <c r="G1608" s="66">
        <v>0.409</v>
      </c>
      <c r="H1608" s="66" t="s">
        <v>236</v>
      </c>
      <c r="I1608" s="81">
        <f t="shared" si="3"/>
        <v>0.7139364303</v>
      </c>
      <c r="J1608" s="81">
        <f t="shared" si="4"/>
        <v>0.5834522111</v>
      </c>
    </row>
    <row r="1609">
      <c r="A1609" s="82">
        <v>44769.0</v>
      </c>
      <c r="B1609" s="66">
        <v>2370.0</v>
      </c>
      <c r="C1609" s="66">
        <v>2.0</v>
      </c>
      <c r="D1609" s="66" t="s">
        <v>204</v>
      </c>
      <c r="E1609" s="66">
        <v>0.0</v>
      </c>
      <c r="F1609" s="66">
        <v>0.103</v>
      </c>
      <c r="G1609" s="66">
        <v>0.056</v>
      </c>
      <c r="H1609" s="66" t="s">
        <v>236</v>
      </c>
      <c r="I1609" s="81">
        <f t="shared" si="3"/>
        <v>0.8392857143</v>
      </c>
      <c r="J1609" s="81">
        <f t="shared" si="4"/>
        <v>0.5436893204</v>
      </c>
    </row>
    <row r="1610">
      <c r="A1610" s="82">
        <v>44769.0</v>
      </c>
      <c r="B1610" s="66">
        <v>2360.0</v>
      </c>
      <c r="C1610" s="66">
        <v>2.0</v>
      </c>
      <c r="D1610" s="66" t="s">
        <v>238</v>
      </c>
      <c r="E1610" s="66">
        <v>0.0</v>
      </c>
      <c r="F1610" s="66">
        <v>1.214</v>
      </c>
      <c r="G1610" s="66">
        <v>0.677</v>
      </c>
      <c r="H1610" s="66" t="s">
        <v>236</v>
      </c>
      <c r="I1610" s="81">
        <f t="shared" si="3"/>
        <v>0.7932053176</v>
      </c>
      <c r="J1610" s="81">
        <f t="shared" si="4"/>
        <v>0.557660626</v>
      </c>
    </row>
    <row r="1611">
      <c r="A1611" s="82">
        <v>44769.0</v>
      </c>
      <c r="B1611" s="66">
        <v>2360.0</v>
      </c>
      <c r="C1611" s="66">
        <v>2.0</v>
      </c>
      <c r="D1611" s="66" t="s">
        <v>204</v>
      </c>
      <c r="E1611" s="66">
        <v>0.0</v>
      </c>
      <c r="F1611" s="66">
        <v>0.311</v>
      </c>
      <c r="G1611" s="66">
        <v>0.19</v>
      </c>
      <c r="H1611" s="66" t="s">
        <v>236</v>
      </c>
      <c r="I1611" s="81">
        <f t="shared" si="3"/>
        <v>0.6368421053</v>
      </c>
      <c r="J1611" s="81">
        <f t="shared" si="4"/>
        <v>0.6109324759</v>
      </c>
    </row>
    <row r="1612">
      <c r="A1612" s="82">
        <v>44770.0</v>
      </c>
      <c r="B1612" s="66">
        <v>2380.0</v>
      </c>
      <c r="C1612" s="66">
        <v>1.0</v>
      </c>
      <c r="D1612" s="66" t="s">
        <v>204</v>
      </c>
      <c r="E1612" s="66">
        <v>1.0</v>
      </c>
      <c r="F1612" s="66">
        <v>0.386</v>
      </c>
      <c r="G1612" s="66">
        <v>0.23</v>
      </c>
    </row>
    <row r="1613">
      <c r="A1613" s="82">
        <v>44816.0</v>
      </c>
      <c r="B1613" s="66">
        <v>2030.0</v>
      </c>
      <c r="C1613" s="66">
        <v>1.0</v>
      </c>
      <c r="D1613" s="66" t="s">
        <v>204</v>
      </c>
      <c r="E1613" s="66">
        <v>1.0</v>
      </c>
      <c r="F1613" s="66">
        <v>0.3415</v>
      </c>
      <c r="G1613" s="66">
        <v>0.1742</v>
      </c>
      <c r="I1613" s="81">
        <f t="shared" ref="I1613:I1615" si="5">(F1613-G1613)/G1613</f>
        <v>0.9603903559</v>
      </c>
      <c r="J1613" s="81">
        <f t="shared" ref="J1613:J1731" si="6">G1613/F1613</f>
        <v>0.510102489</v>
      </c>
    </row>
    <row r="1614">
      <c r="A1614" s="82">
        <v>44816.0</v>
      </c>
      <c r="B1614" s="66">
        <v>2030.0</v>
      </c>
      <c r="C1614" s="66">
        <v>3.0</v>
      </c>
      <c r="D1614" s="66" t="s">
        <v>204</v>
      </c>
      <c r="E1614" s="66">
        <v>1.0</v>
      </c>
      <c r="F1614" s="66">
        <v>0.094</v>
      </c>
      <c r="G1614" s="66">
        <v>0.0469</v>
      </c>
      <c r="I1614" s="81">
        <f t="shared" si="5"/>
        <v>1.004264392</v>
      </c>
      <c r="J1614" s="81">
        <f t="shared" si="6"/>
        <v>0.4989361702</v>
      </c>
    </row>
    <row r="1615">
      <c r="A1615" s="82">
        <v>44816.0</v>
      </c>
      <c r="B1615" s="66">
        <v>2030.0</v>
      </c>
      <c r="C1615" s="66">
        <v>3.0</v>
      </c>
      <c r="D1615" s="66" t="s">
        <v>205</v>
      </c>
      <c r="E1615" s="66">
        <v>1.0</v>
      </c>
      <c r="F1615" s="66">
        <v>0.5632</v>
      </c>
      <c r="G1615" s="66">
        <v>0.33</v>
      </c>
      <c r="I1615" s="81">
        <f t="shared" si="5"/>
        <v>0.7066666667</v>
      </c>
      <c r="J1615" s="81">
        <f t="shared" si="6"/>
        <v>0.5859375</v>
      </c>
    </row>
    <row r="1616">
      <c r="A1616" s="82">
        <v>44816.0</v>
      </c>
      <c r="B1616" s="66">
        <v>2010.0</v>
      </c>
      <c r="C1616" s="66">
        <v>3.0</v>
      </c>
      <c r="D1616" s="66" t="s">
        <v>205</v>
      </c>
      <c r="E1616" s="66">
        <v>0.0</v>
      </c>
      <c r="F1616" s="66">
        <v>0.7274</v>
      </c>
      <c r="G1616" s="66">
        <v>0.3826</v>
      </c>
      <c r="I1616" s="81">
        <f t="shared" ref="I1616:I1624" si="7">((F1616-G1616)/G1616)</f>
        <v>0.9012023001</v>
      </c>
      <c r="J1616" s="81">
        <f t="shared" si="6"/>
        <v>0.525982953</v>
      </c>
    </row>
    <row r="1617">
      <c r="A1617" s="82">
        <v>44816.0</v>
      </c>
      <c r="B1617" s="66">
        <v>2010.0</v>
      </c>
      <c r="C1617" s="66">
        <v>2.0</v>
      </c>
      <c r="D1617" s="66" t="s">
        <v>205</v>
      </c>
      <c r="E1617" s="66">
        <v>0.0</v>
      </c>
      <c r="F1617" s="66">
        <v>0.8191</v>
      </c>
      <c r="G1617" s="66">
        <v>0.4187</v>
      </c>
      <c r="I1617" s="81">
        <f t="shared" si="7"/>
        <v>0.9562932888</v>
      </c>
      <c r="J1617" s="81">
        <f t="shared" si="6"/>
        <v>0.5111707972</v>
      </c>
    </row>
    <row r="1618">
      <c r="A1618" s="82">
        <v>44816.0</v>
      </c>
      <c r="B1618" s="66">
        <v>2028.0</v>
      </c>
      <c r="C1618" s="66">
        <v>2.0</v>
      </c>
      <c r="D1618" s="66" t="s">
        <v>205</v>
      </c>
      <c r="E1618" s="66">
        <v>0.0</v>
      </c>
      <c r="F1618" s="66">
        <v>0.1719</v>
      </c>
      <c r="G1618" s="66">
        <v>0.105</v>
      </c>
      <c r="I1618" s="81">
        <f t="shared" si="7"/>
        <v>0.6371428571</v>
      </c>
      <c r="J1618" s="81">
        <f t="shared" si="6"/>
        <v>0.6108202443</v>
      </c>
    </row>
    <row r="1619">
      <c r="A1619" s="82">
        <v>44816.0</v>
      </c>
      <c r="B1619" s="66">
        <v>2028.0</v>
      </c>
      <c r="C1619" s="66">
        <v>1.0</v>
      </c>
      <c r="D1619" s="66" t="s">
        <v>204</v>
      </c>
      <c r="E1619" s="66">
        <v>1.0</v>
      </c>
      <c r="F1619" s="66">
        <v>0.5752</v>
      </c>
      <c r="G1619" s="66">
        <v>0.3514</v>
      </c>
      <c r="I1619" s="81">
        <f t="shared" si="7"/>
        <v>0.6368810472</v>
      </c>
      <c r="J1619" s="81">
        <f t="shared" si="6"/>
        <v>0.6109179416</v>
      </c>
    </row>
    <row r="1620">
      <c r="A1620" s="82">
        <v>44816.0</v>
      </c>
      <c r="B1620" s="66">
        <v>2028.0</v>
      </c>
      <c r="C1620" s="66">
        <v>1.0</v>
      </c>
      <c r="D1620" s="66" t="s">
        <v>204</v>
      </c>
      <c r="E1620" s="66">
        <v>0.0</v>
      </c>
      <c r="F1620" s="66">
        <v>1.1209</v>
      </c>
      <c r="G1620" s="66">
        <v>0.6708</v>
      </c>
      <c r="I1620" s="81">
        <f t="shared" si="7"/>
        <v>0.6709898629</v>
      </c>
      <c r="J1620" s="81">
        <f t="shared" si="6"/>
        <v>0.598447676</v>
      </c>
    </row>
    <row r="1621">
      <c r="A1621" s="82">
        <v>44816.0</v>
      </c>
      <c r="B1621" s="66">
        <v>2028.0</v>
      </c>
      <c r="C1621" s="66">
        <v>1.0</v>
      </c>
      <c r="D1621" s="66" t="s">
        <v>205</v>
      </c>
      <c r="E1621" s="66">
        <v>0.0</v>
      </c>
      <c r="F1621" s="66">
        <v>0.9241</v>
      </c>
      <c r="G1621" s="66">
        <v>0.5972</v>
      </c>
      <c r="I1621" s="81">
        <f t="shared" si="7"/>
        <v>0.5473878098</v>
      </c>
      <c r="J1621" s="81">
        <f t="shared" si="6"/>
        <v>0.6462504058</v>
      </c>
    </row>
    <row r="1622">
      <c r="A1622" s="82">
        <v>44816.0</v>
      </c>
      <c r="B1622" s="66">
        <v>2028.0</v>
      </c>
      <c r="C1622" s="66">
        <v>3.0</v>
      </c>
      <c r="D1622" s="66" t="s">
        <v>205</v>
      </c>
      <c r="E1622" s="66">
        <v>0.0</v>
      </c>
      <c r="F1622" s="66">
        <v>0.359</v>
      </c>
      <c r="G1622" s="66">
        <v>0.2224</v>
      </c>
      <c r="I1622" s="81">
        <f t="shared" si="7"/>
        <v>0.6142086331</v>
      </c>
      <c r="J1622" s="81">
        <f t="shared" si="6"/>
        <v>0.6194986072</v>
      </c>
    </row>
    <row r="1623">
      <c r="A1623" s="82">
        <v>44816.0</v>
      </c>
      <c r="B1623" s="66">
        <v>2090.0</v>
      </c>
      <c r="C1623" s="66">
        <v>1.0</v>
      </c>
      <c r="D1623" s="66" t="s">
        <v>205</v>
      </c>
      <c r="E1623" s="66">
        <v>0.0</v>
      </c>
      <c r="F1623" s="66">
        <v>0.8144</v>
      </c>
      <c r="G1623" s="66">
        <v>0.4626</v>
      </c>
      <c r="I1623" s="81">
        <f t="shared" si="7"/>
        <v>0.7604842196</v>
      </c>
      <c r="J1623" s="81">
        <f t="shared" si="6"/>
        <v>0.5680255403</v>
      </c>
    </row>
    <row r="1624">
      <c r="A1624" s="82">
        <v>44816.0</v>
      </c>
      <c r="B1624" s="66">
        <v>2010.0</v>
      </c>
      <c r="C1624" s="66">
        <v>1.0</v>
      </c>
      <c r="D1624" s="66" t="s">
        <v>205</v>
      </c>
      <c r="E1624" s="66">
        <v>0.0</v>
      </c>
      <c r="F1624" s="66">
        <v>0.6151</v>
      </c>
      <c r="G1624" s="66">
        <v>0.3069</v>
      </c>
      <c r="I1624" s="81">
        <f t="shared" si="7"/>
        <v>1.004235907</v>
      </c>
      <c r="J1624" s="81">
        <f t="shared" si="6"/>
        <v>0.4989432613</v>
      </c>
    </row>
    <row r="1625">
      <c r="A1625" s="82">
        <v>44816.0</v>
      </c>
      <c r="B1625" s="66">
        <v>2029.0</v>
      </c>
      <c r="C1625" s="66">
        <v>2.0</v>
      </c>
      <c r="D1625" s="66" t="s">
        <v>205</v>
      </c>
      <c r="E1625" s="66">
        <v>1.0</v>
      </c>
      <c r="F1625" s="66">
        <v>1.2382</v>
      </c>
      <c r="G1625" s="66">
        <v>0.8808</v>
      </c>
      <c r="I1625" s="81">
        <f t="shared" ref="I1625:I1627" si="8">(F1625-G1625)/G1625</f>
        <v>0.4057674841</v>
      </c>
      <c r="J1625" s="81">
        <f t="shared" si="6"/>
        <v>0.711355193</v>
      </c>
    </row>
    <row r="1626">
      <c r="A1626" s="82">
        <v>44816.0</v>
      </c>
      <c r="B1626" s="66">
        <v>2010.0</v>
      </c>
      <c r="C1626" s="66">
        <v>3.0</v>
      </c>
      <c r="D1626" s="66" t="s">
        <v>204</v>
      </c>
      <c r="E1626" s="66">
        <v>1.0</v>
      </c>
      <c r="F1626" s="66">
        <v>0.4348</v>
      </c>
      <c r="G1626" s="66">
        <v>0.2206</v>
      </c>
      <c r="I1626" s="81">
        <f t="shared" si="8"/>
        <v>0.970988214</v>
      </c>
      <c r="J1626" s="81">
        <f t="shared" si="6"/>
        <v>0.5073597056</v>
      </c>
    </row>
    <row r="1627">
      <c r="A1627" s="82">
        <v>44816.0</v>
      </c>
      <c r="B1627" s="66">
        <v>2025.0</v>
      </c>
      <c r="C1627" s="66">
        <v>1.0</v>
      </c>
      <c r="D1627" s="66" t="s">
        <v>204</v>
      </c>
      <c r="E1627" s="66">
        <v>1.0</v>
      </c>
      <c r="F1627" s="66">
        <v>0.653</v>
      </c>
      <c r="G1627" s="66">
        <v>0.3777</v>
      </c>
      <c r="I1627" s="81">
        <f t="shared" si="8"/>
        <v>0.7288853588</v>
      </c>
      <c r="J1627" s="81">
        <f t="shared" si="6"/>
        <v>0.5784073507</v>
      </c>
    </row>
    <row r="1628">
      <c r="A1628" s="82">
        <v>44816.0</v>
      </c>
      <c r="B1628" s="66">
        <v>2025.0</v>
      </c>
      <c r="C1628" s="66">
        <v>2.0</v>
      </c>
      <c r="D1628" s="66" t="s">
        <v>204</v>
      </c>
      <c r="E1628" s="66">
        <v>1.0</v>
      </c>
      <c r="F1628" s="66">
        <v>0.3683</v>
      </c>
      <c r="G1628" s="66">
        <v>0.2106</v>
      </c>
      <c r="I1628" s="81">
        <f t="shared" ref="I1628:I1653" si="9">((F1628-G1628)/G1628)</f>
        <v>0.7488129155</v>
      </c>
      <c r="J1628" s="81">
        <f t="shared" si="6"/>
        <v>0.571816454</v>
      </c>
    </row>
    <row r="1629">
      <c r="A1629" s="82">
        <v>44816.0</v>
      </c>
      <c r="B1629" s="66">
        <v>2028.0</v>
      </c>
      <c r="C1629" s="66">
        <v>2.0</v>
      </c>
      <c r="D1629" s="66" t="s">
        <v>204</v>
      </c>
      <c r="E1629" s="66">
        <v>1.0</v>
      </c>
      <c r="F1629" s="66">
        <v>0.6253</v>
      </c>
      <c r="G1629" s="66">
        <v>0.3691</v>
      </c>
      <c r="I1629" s="81">
        <f t="shared" si="9"/>
        <v>0.6941208345</v>
      </c>
      <c r="J1629" s="81">
        <f t="shared" si="6"/>
        <v>0.5902766672</v>
      </c>
    </row>
    <row r="1630">
      <c r="A1630" s="82">
        <v>44816.0</v>
      </c>
      <c r="B1630" s="66">
        <v>2010.0</v>
      </c>
      <c r="C1630" s="66">
        <v>1.0</v>
      </c>
      <c r="D1630" s="66" t="s">
        <v>204</v>
      </c>
      <c r="E1630" s="66">
        <v>0.0</v>
      </c>
      <c r="F1630" s="66">
        <v>0.4071</v>
      </c>
      <c r="G1630" s="66">
        <v>0.1986</v>
      </c>
      <c r="H1630" s="66" t="s">
        <v>233</v>
      </c>
      <c r="I1630" s="81">
        <f t="shared" si="9"/>
        <v>1.049848943</v>
      </c>
      <c r="J1630" s="81">
        <f t="shared" si="6"/>
        <v>0.4878408254</v>
      </c>
    </row>
    <row r="1631">
      <c r="A1631" s="82">
        <v>44816.0</v>
      </c>
      <c r="B1631" s="66">
        <v>2010.0</v>
      </c>
      <c r="C1631" s="66">
        <v>2.0</v>
      </c>
      <c r="D1631" s="66" t="s">
        <v>204</v>
      </c>
      <c r="E1631" s="66">
        <v>0.0</v>
      </c>
      <c r="F1631" s="66">
        <v>0.5685</v>
      </c>
      <c r="G1631" s="66">
        <v>0.2808</v>
      </c>
      <c r="H1631" s="66" t="s">
        <v>234</v>
      </c>
      <c r="I1631" s="81">
        <f t="shared" si="9"/>
        <v>1.02457265</v>
      </c>
      <c r="J1631" s="81">
        <f t="shared" si="6"/>
        <v>0.4939313984</v>
      </c>
    </row>
    <row r="1632">
      <c r="A1632" s="82">
        <v>44816.0</v>
      </c>
      <c r="B1632" s="66">
        <v>2030.0</v>
      </c>
      <c r="C1632" s="66">
        <v>2.0</v>
      </c>
      <c r="D1632" s="66" t="s">
        <v>204</v>
      </c>
      <c r="E1632" s="66">
        <v>0.0</v>
      </c>
      <c r="F1632" s="66">
        <v>0.1098</v>
      </c>
      <c r="G1632" s="66">
        <v>0.0539</v>
      </c>
      <c r="I1632" s="81">
        <f t="shared" si="9"/>
        <v>1.037105751</v>
      </c>
      <c r="J1632" s="81">
        <f t="shared" si="6"/>
        <v>0.4908925319</v>
      </c>
    </row>
    <row r="1633">
      <c r="A1633" s="82">
        <v>44816.0</v>
      </c>
      <c r="B1633" s="66">
        <v>2030.0</v>
      </c>
      <c r="C1633" s="66">
        <v>3.0</v>
      </c>
      <c r="D1633" s="66" t="s">
        <v>204</v>
      </c>
      <c r="E1633" s="66">
        <v>0.0</v>
      </c>
      <c r="F1633" s="66">
        <v>0.0602</v>
      </c>
      <c r="G1633" s="66">
        <v>0.0329</v>
      </c>
      <c r="I1633" s="81">
        <f t="shared" si="9"/>
        <v>0.829787234</v>
      </c>
      <c r="J1633" s="81">
        <f t="shared" si="6"/>
        <v>0.5465116279</v>
      </c>
    </row>
    <row r="1634">
      <c r="A1634" s="82">
        <v>44816.0</v>
      </c>
      <c r="B1634" s="66">
        <v>2029.0</v>
      </c>
      <c r="C1634" s="66">
        <v>1.0</v>
      </c>
      <c r="D1634" s="66" t="s">
        <v>204</v>
      </c>
      <c r="E1634" s="66">
        <v>1.0</v>
      </c>
      <c r="F1634" s="66">
        <v>0.3619</v>
      </c>
      <c r="G1634" s="66">
        <v>0.2668</v>
      </c>
      <c r="I1634" s="81">
        <f t="shared" si="9"/>
        <v>0.3564467766</v>
      </c>
      <c r="J1634" s="81">
        <f t="shared" si="6"/>
        <v>0.7372202266</v>
      </c>
    </row>
    <row r="1635">
      <c r="A1635" s="82">
        <v>44816.0</v>
      </c>
      <c r="B1635" s="66">
        <v>2029.0</v>
      </c>
      <c r="C1635" s="66">
        <v>1.0</v>
      </c>
      <c r="D1635" s="66" t="s">
        <v>204</v>
      </c>
      <c r="E1635" s="66">
        <v>0.0</v>
      </c>
      <c r="F1635" s="66">
        <v>0.1146</v>
      </c>
      <c r="G1635" s="66">
        <v>0.0555</v>
      </c>
      <c r="I1635" s="81">
        <f t="shared" si="9"/>
        <v>1.064864865</v>
      </c>
      <c r="J1635" s="81">
        <f t="shared" si="6"/>
        <v>0.4842931937</v>
      </c>
    </row>
    <row r="1636">
      <c r="A1636" s="82">
        <v>44816.0</v>
      </c>
      <c r="B1636" s="66">
        <v>2030.0</v>
      </c>
      <c r="C1636" s="66">
        <v>3.0</v>
      </c>
      <c r="D1636" s="66" t="s">
        <v>205</v>
      </c>
      <c r="E1636" s="66">
        <v>0.0</v>
      </c>
      <c r="F1636" s="66">
        <v>0.0375</v>
      </c>
      <c r="G1636" s="66">
        <v>0.0198</v>
      </c>
      <c r="I1636" s="81">
        <f t="shared" si="9"/>
        <v>0.8939393939</v>
      </c>
      <c r="J1636" s="81">
        <f t="shared" si="6"/>
        <v>0.528</v>
      </c>
    </row>
    <row r="1637">
      <c r="A1637" s="82">
        <v>44816.0</v>
      </c>
      <c r="B1637" s="66">
        <v>2360.0</v>
      </c>
      <c r="C1637" s="66">
        <v>1.0</v>
      </c>
      <c r="D1637" s="66" t="s">
        <v>204</v>
      </c>
      <c r="E1637" s="66">
        <v>0.0</v>
      </c>
      <c r="F1637" s="66">
        <v>0.3853</v>
      </c>
      <c r="G1637" s="66">
        <v>0.2077</v>
      </c>
      <c r="I1637" s="81">
        <f t="shared" si="9"/>
        <v>0.8550794415</v>
      </c>
      <c r="J1637" s="81">
        <f t="shared" si="6"/>
        <v>0.5390604724</v>
      </c>
    </row>
    <row r="1638">
      <c r="A1638" s="82">
        <v>44816.0</v>
      </c>
      <c r="B1638" s="66">
        <v>2030.0</v>
      </c>
      <c r="C1638" s="66">
        <v>2.0</v>
      </c>
      <c r="D1638" s="66" t="s">
        <v>204</v>
      </c>
      <c r="E1638" s="66">
        <v>1.0</v>
      </c>
      <c r="F1638" s="66">
        <v>0.7401</v>
      </c>
      <c r="G1638" s="66">
        <v>0.4011</v>
      </c>
      <c r="I1638" s="81">
        <f t="shared" si="9"/>
        <v>0.8451757666</v>
      </c>
      <c r="J1638" s="81">
        <f t="shared" si="6"/>
        <v>0.54195379</v>
      </c>
    </row>
    <row r="1639">
      <c r="A1639" s="82">
        <v>44816.0</v>
      </c>
      <c r="B1639" s="66">
        <v>2030.0</v>
      </c>
      <c r="C1639" s="66">
        <v>1.0</v>
      </c>
      <c r="D1639" s="66" t="s">
        <v>205</v>
      </c>
      <c r="E1639" s="66">
        <v>1.0</v>
      </c>
      <c r="F1639" s="66">
        <v>0.5276</v>
      </c>
      <c r="G1639" s="66">
        <v>0.2974</v>
      </c>
      <c r="I1639" s="81">
        <f t="shared" si="9"/>
        <v>0.7740416947</v>
      </c>
      <c r="J1639" s="81">
        <f t="shared" si="6"/>
        <v>0.5636846096</v>
      </c>
    </row>
    <row r="1640">
      <c r="A1640" s="82">
        <v>44816.0</v>
      </c>
      <c r="B1640" s="66">
        <v>2030.0</v>
      </c>
      <c r="C1640" s="66">
        <v>1.0</v>
      </c>
      <c r="D1640" s="66" t="s">
        <v>204</v>
      </c>
      <c r="E1640" s="66">
        <v>0.0</v>
      </c>
      <c r="F1640" s="66">
        <v>0.1335</v>
      </c>
      <c r="G1640" s="66">
        <v>0.0695</v>
      </c>
      <c r="I1640" s="81">
        <f t="shared" si="9"/>
        <v>0.9208633094</v>
      </c>
      <c r="J1640" s="81">
        <f t="shared" si="6"/>
        <v>0.5205992509</v>
      </c>
    </row>
    <row r="1641">
      <c r="A1641" s="82">
        <v>44816.0</v>
      </c>
      <c r="B1641" s="66">
        <v>2030.0</v>
      </c>
      <c r="C1641" s="66">
        <v>2.0</v>
      </c>
      <c r="D1641" s="66" t="s">
        <v>205</v>
      </c>
      <c r="E1641" s="66">
        <v>0.0</v>
      </c>
      <c r="F1641" s="66">
        <v>0.9161</v>
      </c>
      <c r="G1641" s="66">
        <v>0.512</v>
      </c>
      <c r="H1641" s="66" t="s">
        <v>235</v>
      </c>
      <c r="I1641" s="81">
        <f t="shared" si="9"/>
        <v>0.7892578125</v>
      </c>
      <c r="J1641" s="81">
        <f t="shared" si="6"/>
        <v>0.5588909508</v>
      </c>
    </row>
    <row r="1642">
      <c r="A1642" s="82">
        <v>44816.0</v>
      </c>
      <c r="B1642" s="66">
        <v>2360.0</v>
      </c>
      <c r="C1642" s="66">
        <v>2.0</v>
      </c>
      <c r="D1642" s="66" t="s">
        <v>205</v>
      </c>
      <c r="E1642" s="66">
        <v>0.0</v>
      </c>
      <c r="F1642" s="66">
        <v>0.2837</v>
      </c>
      <c r="G1642" s="66">
        <v>0.1583</v>
      </c>
      <c r="I1642" s="81">
        <f t="shared" si="9"/>
        <v>0.792166772</v>
      </c>
      <c r="J1642" s="81">
        <f t="shared" si="6"/>
        <v>0.5579837857</v>
      </c>
    </row>
    <row r="1643">
      <c r="A1643" s="82">
        <v>44816.0</v>
      </c>
      <c r="B1643" s="66">
        <v>2360.0</v>
      </c>
      <c r="C1643" s="66">
        <v>2.0</v>
      </c>
      <c r="D1643" s="66" t="s">
        <v>204</v>
      </c>
      <c r="E1643" s="66">
        <v>0.0</v>
      </c>
      <c r="F1643" s="66">
        <v>0.4887</v>
      </c>
      <c r="G1643" s="66">
        <v>0.2395</v>
      </c>
      <c r="I1643" s="81">
        <f t="shared" si="9"/>
        <v>1.040501044</v>
      </c>
      <c r="J1643" s="81">
        <f t="shared" si="6"/>
        <v>0.4900757111</v>
      </c>
    </row>
    <row r="1644">
      <c r="A1644" s="82">
        <v>44816.0</v>
      </c>
      <c r="B1644" s="66">
        <v>2023.0</v>
      </c>
      <c r="C1644" s="66">
        <v>2.0</v>
      </c>
      <c r="D1644" s="66" t="s">
        <v>204</v>
      </c>
      <c r="E1644" s="66">
        <v>0.0</v>
      </c>
      <c r="F1644" s="66">
        <v>0.378</v>
      </c>
      <c r="G1644" s="66">
        <v>0.2201</v>
      </c>
      <c r="I1644" s="81">
        <f t="shared" si="9"/>
        <v>0.7174011813</v>
      </c>
      <c r="J1644" s="81">
        <f t="shared" si="6"/>
        <v>0.5822751323</v>
      </c>
    </row>
    <row r="1645">
      <c r="A1645" s="82">
        <v>44816.0</v>
      </c>
      <c r="B1645" s="66">
        <v>2023.0</v>
      </c>
      <c r="C1645" s="66">
        <v>2.0</v>
      </c>
      <c r="D1645" s="66" t="s">
        <v>205</v>
      </c>
      <c r="E1645" s="66">
        <v>0.0</v>
      </c>
      <c r="F1645" s="66">
        <v>0.3423</v>
      </c>
      <c r="G1645" s="66">
        <v>0.1958</v>
      </c>
      <c r="I1645" s="81">
        <f t="shared" si="9"/>
        <v>0.7482124617</v>
      </c>
      <c r="J1645" s="81">
        <f t="shared" si="6"/>
        <v>0.5720128542</v>
      </c>
    </row>
    <row r="1646">
      <c r="A1646" s="82">
        <v>44816.0</v>
      </c>
      <c r="B1646" s="66">
        <v>2023.0</v>
      </c>
      <c r="C1646" s="66">
        <v>1.0</v>
      </c>
      <c r="D1646" s="66" t="s">
        <v>205</v>
      </c>
      <c r="E1646" s="66">
        <v>0.0</v>
      </c>
      <c r="F1646" s="66">
        <v>1.0336</v>
      </c>
      <c r="G1646" s="66">
        <v>0.6664</v>
      </c>
      <c r="I1646" s="81">
        <f t="shared" si="9"/>
        <v>0.5510204082</v>
      </c>
      <c r="J1646" s="81">
        <f t="shared" si="6"/>
        <v>0.6447368421</v>
      </c>
    </row>
    <row r="1647">
      <c r="A1647" s="82">
        <v>44816.0</v>
      </c>
      <c r="B1647" s="66">
        <v>2023.0</v>
      </c>
      <c r="C1647" s="66">
        <v>1.0</v>
      </c>
      <c r="D1647" s="66" t="s">
        <v>204</v>
      </c>
      <c r="E1647" s="66">
        <v>0.0</v>
      </c>
      <c r="F1647" s="66">
        <v>0.6833</v>
      </c>
      <c r="G1647" s="66">
        <v>0.457</v>
      </c>
      <c r="I1647" s="81">
        <f t="shared" si="9"/>
        <v>0.4951859956</v>
      </c>
      <c r="J1647" s="81">
        <f t="shared" si="6"/>
        <v>0.6688131128</v>
      </c>
    </row>
    <row r="1648">
      <c r="A1648" s="82">
        <v>44816.0</v>
      </c>
      <c r="B1648" s="66">
        <v>2020.0</v>
      </c>
      <c r="C1648" s="66">
        <v>4.0</v>
      </c>
      <c r="D1648" s="66" t="s">
        <v>205</v>
      </c>
      <c r="E1648" s="66">
        <v>0.0</v>
      </c>
      <c r="F1648" s="66">
        <v>0.2418</v>
      </c>
      <c r="G1648" s="66">
        <v>0.1379</v>
      </c>
      <c r="I1648" s="81">
        <f t="shared" si="9"/>
        <v>0.753444525</v>
      </c>
      <c r="J1648" s="81">
        <f t="shared" si="6"/>
        <v>0.570306038</v>
      </c>
    </row>
    <row r="1649">
      <c r="A1649" s="82">
        <v>44816.0</v>
      </c>
      <c r="B1649" s="66">
        <v>2020.0</v>
      </c>
      <c r="C1649" s="66">
        <v>3.0</v>
      </c>
      <c r="D1649" s="66" t="s">
        <v>204</v>
      </c>
      <c r="E1649" s="66">
        <v>0.0</v>
      </c>
      <c r="F1649" s="66">
        <v>0.2744</v>
      </c>
      <c r="G1649" s="66">
        <v>0.1542</v>
      </c>
      <c r="I1649" s="81">
        <f t="shared" si="9"/>
        <v>0.7795071336</v>
      </c>
      <c r="J1649" s="81">
        <f t="shared" si="6"/>
        <v>0.5619533528</v>
      </c>
    </row>
    <row r="1650">
      <c r="A1650" s="82">
        <v>44816.0</v>
      </c>
      <c r="B1650" s="66">
        <v>2020.0</v>
      </c>
      <c r="C1650" s="66">
        <v>3.0</v>
      </c>
      <c r="D1650" s="66" t="s">
        <v>205</v>
      </c>
      <c r="E1650" s="66">
        <v>0.0</v>
      </c>
      <c r="F1650" s="66">
        <v>0.4905</v>
      </c>
      <c r="G1650" s="66">
        <v>0.2877</v>
      </c>
      <c r="I1650" s="81">
        <f t="shared" si="9"/>
        <v>0.7049009385</v>
      </c>
      <c r="J1650" s="81">
        <f t="shared" si="6"/>
        <v>0.5865443425</v>
      </c>
    </row>
    <row r="1651">
      <c r="A1651" s="82">
        <v>44816.0</v>
      </c>
      <c r="B1651" s="66">
        <v>2020.0</v>
      </c>
      <c r="C1651" s="66">
        <v>2.0</v>
      </c>
      <c r="D1651" s="66" t="s">
        <v>205</v>
      </c>
      <c r="E1651" s="66">
        <v>0.0</v>
      </c>
      <c r="F1651" s="66">
        <v>0.3059</v>
      </c>
      <c r="G1651" s="66">
        <v>0.1804</v>
      </c>
      <c r="I1651" s="81">
        <f t="shared" si="9"/>
        <v>0.6956762749</v>
      </c>
      <c r="J1651" s="81">
        <f t="shared" si="6"/>
        <v>0.5897352076</v>
      </c>
    </row>
    <row r="1652">
      <c r="A1652" s="82">
        <v>44816.0</v>
      </c>
      <c r="B1652" s="66">
        <v>2020.0</v>
      </c>
      <c r="C1652" s="66">
        <v>4.0</v>
      </c>
      <c r="D1652" s="66" t="s">
        <v>204</v>
      </c>
      <c r="E1652" s="66">
        <v>0.0</v>
      </c>
      <c r="F1652" s="66">
        <v>0.6462</v>
      </c>
      <c r="G1652" s="66">
        <v>0.3619</v>
      </c>
      <c r="I1652" s="81">
        <f t="shared" si="9"/>
        <v>0.785576126</v>
      </c>
      <c r="J1652" s="81">
        <f t="shared" si="6"/>
        <v>0.5600433302</v>
      </c>
    </row>
    <row r="1653">
      <c r="A1653" s="82">
        <v>44816.0</v>
      </c>
      <c r="B1653" s="66">
        <v>2020.0</v>
      </c>
      <c r="C1653" s="66">
        <v>2.0</v>
      </c>
      <c r="D1653" s="66" t="s">
        <v>204</v>
      </c>
      <c r="E1653" s="66">
        <v>0.0</v>
      </c>
      <c r="F1653" s="66">
        <v>0.4222</v>
      </c>
      <c r="G1653" s="66">
        <v>0.2302</v>
      </c>
      <c r="I1653" s="81">
        <f t="shared" si="9"/>
        <v>0.8340573414</v>
      </c>
      <c r="J1653" s="81">
        <f t="shared" si="6"/>
        <v>0.5452392231</v>
      </c>
    </row>
    <row r="1654">
      <c r="A1654" s="82">
        <v>44816.0</v>
      </c>
      <c r="B1654" s="66">
        <v>2020.0</v>
      </c>
      <c r="C1654" s="66">
        <v>1.0</v>
      </c>
      <c r="D1654" s="66" t="s">
        <v>204</v>
      </c>
      <c r="E1654" s="66">
        <v>1.0</v>
      </c>
      <c r="F1654" s="66">
        <v>0.621</v>
      </c>
      <c r="G1654" s="66">
        <v>0.3373</v>
      </c>
      <c r="I1654" s="81">
        <f>(F1654-G1654)/G1653</f>
        <v>1.232406603</v>
      </c>
      <c r="J1654" s="81">
        <f t="shared" si="6"/>
        <v>0.5431561997</v>
      </c>
    </row>
    <row r="1655">
      <c r="A1655" s="82">
        <v>44816.0</v>
      </c>
      <c r="B1655" s="66">
        <v>2020.0</v>
      </c>
      <c r="C1655" s="66">
        <v>1.0</v>
      </c>
      <c r="D1655" s="66" t="s">
        <v>204</v>
      </c>
      <c r="E1655" s="66">
        <v>0.0</v>
      </c>
      <c r="F1655" s="66">
        <v>0.2131</v>
      </c>
      <c r="G1655" s="66">
        <v>0.112</v>
      </c>
      <c r="I1655" s="81">
        <f>(F1655-G1655)/G1655</f>
        <v>0.9026785714</v>
      </c>
      <c r="J1655" s="81">
        <f t="shared" si="6"/>
        <v>0.5255748475</v>
      </c>
    </row>
    <row r="1656">
      <c r="A1656" s="82">
        <v>44816.0</v>
      </c>
      <c r="B1656" s="66">
        <v>2020.0</v>
      </c>
      <c r="C1656" s="66">
        <v>1.0</v>
      </c>
      <c r="D1656" s="66" t="s">
        <v>205</v>
      </c>
      <c r="E1656" s="66">
        <v>0.0</v>
      </c>
      <c r="F1656" s="66">
        <v>0.0658</v>
      </c>
      <c r="G1656" s="66">
        <v>0.0339</v>
      </c>
      <c r="I1656" s="81">
        <f t="shared" ref="I1656:I1731" si="10">((F1656-G1656)/G1656)</f>
        <v>0.9410029499</v>
      </c>
      <c r="J1656" s="81">
        <f t="shared" si="6"/>
        <v>0.5151975684</v>
      </c>
    </row>
    <row r="1657">
      <c r="A1657" s="82">
        <v>44816.0</v>
      </c>
      <c r="B1657" s="66">
        <v>2025.0</v>
      </c>
      <c r="C1657" s="66">
        <v>4.0</v>
      </c>
      <c r="D1657" s="66" t="s">
        <v>204</v>
      </c>
      <c r="E1657" s="66">
        <v>0.0</v>
      </c>
      <c r="F1657" s="66">
        <v>0.3584</v>
      </c>
      <c r="G1657" s="66">
        <v>0.1982</v>
      </c>
      <c r="I1657" s="81">
        <f t="shared" si="10"/>
        <v>0.8082744702</v>
      </c>
      <c r="J1657" s="81">
        <f t="shared" si="6"/>
        <v>0.5530133929</v>
      </c>
    </row>
    <row r="1658">
      <c r="A1658" s="82">
        <v>44816.0</v>
      </c>
      <c r="B1658" s="66">
        <v>2025.0</v>
      </c>
      <c r="C1658" s="66">
        <v>4.0</v>
      </c>
      <c r="D1658" s="66" t="s">
        <v>205</v>
      </c>
      <c r="E1658" s="66">
        <v>0.0</v>
      </c>
      <c r="F1658" s="66">
        <v>1.6804</v>
      </c>
      <c r="G1658" s="66">
        <v>0.9747</v>
      </c>
      <c r="I1658" s="81">
        <f t="shared" si="10"/>
        <v>0.7240176465</v>
      </c>
      <c r="J1658" s="81">
        <f t="shared" si="6"/>
        <v>0.5800404666</v>
      </c>
    </row>
    <row r="1659">
      <c r="A1659" s="82">
        <v>44816.0</v>
      </c>
      <c r="B1659" s="66">
        <v>2025.0</v>
      </c>
      <c r="C1659" s="66">
        <v>3.0</v>
      </c>
      <c r="D1659" s="66" t="s">
        <v>204</v>
      </c>
      <c r="E1659" s="66">
        <v>0.0</v>
      </c>
      <c r="F1659" s="66">
        <v>0.0545</v>
      </c>
      <c r="G1659" s="66">
        <v>0.0284</v>
      </c>
      <c r="I1659" s="81">
        <f t="shared" si="10"/>
        <v>0.9190140845</v>
      </c>
      <c r="J1659" s="81">
        <f t="shared" si="6"/>
        <v>0.5211009174</v>
      </c>
    </row>
    <row r="1660">
      <c r="A1660" s="82">
        <v>44816.0</v>
      </c>
      <c r="B1660" s="66">
        <v>2025.0</v>
      </c>
      <c r="C1660" s="66">
        <v>3.0</v>
      </c>
      <c r="D1660" s="66" t="s">
        <v>205</v>
      </c>
      <c r="E1660" s="66">
        <v>0.0</v>
      </c>
      <c r="F1660" s="66">
        <v>0.5657</v>
      </c>
      <c r="G1660" s="66">
        <v>0.3346</v>
      </c>
      <c r="I1660" s="81">
        <f t="shared" si="10"/>
        <v>0.6906754334</v>
      </c>
      <c r="J1660" s="81">
        <f t="shared" si="6"/>
        <v>0.5914795828</v>
      </c>
    </row>
    <row r="1661">
      <c r="A1661" s="82">
        <v>44816.0</v>
      </c>
      <c r="B1661" s="66">
        <v>2010.0</v>
      </c>
      <c r="C1661" s="66">
        <v>3.0</v>
      </c>
      <c r="D1661" s="66" t="s">
        <v>204</v>
      </c>
      <c r="E1661" s="66">
        <v>0.0</v>
      </c>
      <c r="F1661" s="66">
        <v>0.4351</v>
      </c>
      <c r="G1661" s="66">
        <v>0.2243</v>
      </c>
      <c r="I1661" s="81">
        <f t="shared" si="10"/>
        <v>0.9398127508</v>
      </c>
      <c r="J1661" s="81">
        <f t="shared" si="6"/>
        <v>0.515513675</v>
      </c>
    </row>
    <row r="1662">
      <c r="A1662" s="82">
        <v>44816.0</v>
      </c>
      <c r="B1662" s="66">
        <v>2025.0</v>
      </c>
      <c r="C1662" s="66">
        <v>1.0</v>
      </c>
      <c r="D1662" s="66" t="s">
        <v>204</v>
      </c>
      <c r="E1662" s="66">
        <v>0.0</v>
      </c>
      <c r="F1662" s="66">
        <v>0.4471</v>
      </c>
      <c r="G1662" s="66">
        <v>0.2743</v>
      </c>
      <c r="I1662" s="81">
        <f t="shared" si="10"/>
        <v>0.6299671892</v>
      </c>
      <c r="J1662" s="81">
        <f t="shared" si="6"/>
        <v>0.613509282</v>
      </c>
    </row>
    <row r="1663">
      <c r="A1663" s="82">
        <v>44816.0</v>
      </c>
      <c r="B1663" s="66">
        <v>2025.0</v>
      </c>
      <c r="C1663" s="66">
        <v>2.0</v>
      </c>
      <c r="D1663" s="66" t="s">
        <v>204</v>
      </c>
      <c r="E1663" s="66">
        <v>0.0</v>
      </c>
      <c r="F1663" s="66">
        <v>0.1288</v>
      </c>
      <c r="G1663" s="66">
        <v>0.0865</v>
      </c>
      <c r="I1663" s="81">
        <f t="shared" si="10"/>
        <v>0.489017341</v>
      </c>
      <c r="J1663" s="81">
        <f t="shared" si="6"/>
        <v>0.6715838509</v>
      </c>
    </row>
    <row r="1664">
      <c r="A1664" s="82">
        <v>44816.0</v>
      </c>
      <c r="B1664" s="66">
        <v>2028.0</v>
      </c>
      <c r="C1664" s="66">
        <v>3.0</v>
      </c>
      <c r="D1664" s="66" t="s">
        <v>204</v>
      </c>
      <c r="E1664" s="66">
        <v>0.0</v>
      </c>
      <c r="F1664" s="66">
        <v>0.5408</v>
      </c>
      <c r="G1664" s="66">
        <v>0.3456</v>
      </c>
      <c r="I1664" s="81">
        <f t="shared" si="10"/>
        <v>0.5648148148</v>
      </c>
      <c r="J1664" s="81">
        <f t="shared" si="6"/>
        <v>0.6390532544</v>
      </c>
    </row>
    <row r="1665">
      <c r="A1665" s="82">
        <v>44816.0</v>
      </c>
      <c r="B1665" s="66">
        <v>2028.0</v>
      </c>
      <c r="C1665" s="66">
        <v>2.0</v>
      </c>
      <c r="D1665" s="66" t="s">
        <v>204</v>
      </c>
      <c r="E1665" s="66">
        <v>0.0</v>
      </c>
      <c r="F1665" s="66">
        <v>0.4346</v>
      </c>
      <c r="G1665" s="66">
        <v>0.2534</v>
      </c>
      <c r="I1665" s="81">
        <f t="shared" si="10"/>
        <v>0.7150749803</v>
      </c>
      <c r="J1665" s="81">
        <f t="shared" si="6"/>
        <v>0.5830648873</v>
      </c>
    </row>
    <row r="1666">
      <c r="A1666" s="82">
        <v>44816.0</v>
      </c>
      <c r="B1666" s="66">
        <v>2025.0</v>
      </c>
      <c r="C1666" s="66">
        <v>2.0</v>
      </c>
      <c r="D1666" s="66" t="s">
        <v>205</v>
      </c>
      <c r="E1666" s="66">
        <v>0.0</v>
      </c>
      <c r="F1666" s="66">
        <v>0.8628</v>
      </c>
      <c r="G1666" s="66">
        <v>0.5727</v>
      </c>
      <c r="I1666" s="81">
        <f t="shared" si="10"/>
        <v>0.5065479309</v>
      </c>
      <c r="J1666" s="81">
        <f t="shared" si="6"/>
        <v>0.6637691238</v>
      </c>
    </row>
    <row r="1667">
      <c r="A1667" s="82">
        <v>44816.0</v>
      </c>
      <c r="B1667" s="66">
        <v>2025.0</v>
      </c>
      <c r="C1667" s="66">
        <v>1.0</v>
      </c>
      <c r="D1667" s="66" t="s">
        <v>205</v>
      </c>
      <c r="E1667" s="66">
        <v>0.0</v>
      </c>
      <c r="F1667" s="66">
        <v>0.889</v>
      </c>
      <c r="G1667" s="66">
        <v>0.535</v>
      </c>
      <c r="I1667" s="81">
        <f t="shared" si="10"/>
        <v>0.661682243</v>
      </c>
      <c r="J1667" s="81">
        <f t="shared" si="6"/>
        <v>0.601799775</v>
      </c>
    </row>
    <row r="1668">
      <c r="A1668" s="82">
        <v>44816.0</v>
      </c>
      <c r="B1668" s="66">
        <v>2360.0</v>
      </c>
      <c r="C1668" s="66">
        <v>1.0</v>
      </c>
      <c r="D1668" s="66" t="s">
        <v>204</v>
      </c>
      <c r="E1668" s="66">
        <v>1.0</v>
      </c>
      <c r="F1668" s="66">
        <v>0.2173</v>
      </c>
      <c r="G1668" s="66">
        <v>0.1154</v>
      </c>
      <c r="I1668" s="81">
        <f t="shared" si="10"/>
        <v>0.8830155979</v>
      </c>
      <c r="J1668" s="81">
        <f t="shared" si="6"/>
        <v>0.5310630465</v>
      </c>
    </row>
    <row r="1669">
      <c r="A1669" s="82">
        <v>44816.0</v>
      </c>
      <c r="B1669" s="66">
        <v>2360.0</v>
      </c>
      <c r="C1669" s="66">
        <v>2.0</v>
      </c>
      <c r="D1669" s="66" t="s">
        <v>204</v>
      </c>
      <c r="E1669" s="66">
        <v>1.0</v>
      </c>
      <c r="F1669" s="66">
        <v>0.8483</v>
      </c>
      <c r="G1669" s="66">
        <v>0.4872</v>
      </c>
      <c r="I1669" s="81">
        <f t="shared" si="10"/>
        <v>0.7411740558</v>
      </c>
      <c r="J1669" s="81">
        <f t="shared" si="6"/>
        <v>0.5743251208</v>
      </c>
    </row>
    <row r="1670">
      <c r="A1670" s="82">
        <v>44816.0</v>
      </c>
      <c r="B1670" s="66">
        <v>2023.0</v>
      </c>
      <c r="C1670" s="66">
        <v>2.0</v>
      </c>
      <c r="D1670" s="66" t="s">
        <v>204</v>
      </c>
      <c r="E1670" s="66">
        <v>1.0</v>
      </c>
      <c r="F1670" s="66">
        <v>0.4407</v>
      </c>
      <c r="G1670" s="66">
        <v>0.2442</v>
      </c>
      <c r="I1670" s="81">
        <f t="shared" si="10"/>
        <v>0.8046683047</v>
      </c>
      <c r="J1670" s="81">
        <f t="shared" si="6"/>
        <v>0.5541184479</v>
      </c>
    </row>
    <row r="1671">
      <c r="A1671" s="82">
        <v>44816.0</v>
      </c>
      <c r="B1671" s="66">
        <v>2023.0</v>
      </c>
      <c r="C1671" s="66">
        <v>1.0</v>
      </c>
      <c r="D1671" s="66" t="s">
        <v>204</v>
      </c>
      <c r="E1671" s="66">
        <v>1.0</v>
      </c>
      <c r="F1671" s="66">
        <v>0.5275</v>
      </c>
      <c r="G1671" s="66">
        <v>0.2978</v>
      </c>
      <c r="I1671" s="81">
        <f t="shared" si="10"/>
        <v>0.7713230356</v>
      </c>
      <c r="J1671" s="81">
        <f t="shared" si="6"/>
        <v>0.564549763</v>
      </c>
    </row>
    <row r="1672">
      <c r="A1672" s="82">
        <v>44816.0</v>
      </c>
      <c r="B1672" s="66">
        <v>2020.0</v>
      </c>
      <c r="C1672" s="66">
        <v>4.0</v>
      </c>
      <c r="D1672" s="66" t="s">
        <v>204</v>
      </c>
      <c r="E1672" s="66">
        <v>1.0</v>
      </c>
      <c r="F1672" s="66">
        <v>1.0051</v>
      </c>
      <c r="G1672" s="66">
        <v>0.5209</v>
      </c>
      <c r="I1672" s="81">
        <f t="shared" si="10"/>
        <v>0.9295450182</v>
      </c>
      <c r="J1672" s="81">
        <f t="shared" si="6"/>
        <v>0.5182568899</v>
      </c>
    </row>
    <row r="1673">
      <c r="A1673" s="82">
        <v>44816.0</v>
      </c>
      <c r="B1673" s="66">
        <v>2020.0</v>
      </c>
      <c r="C1673" s="66">
        <v>3.0</v>
      </c>
      <c r="D1673" s="66" t="s">
        <v>204</v>
      </c>
      <c r="E1673" s="66">
        <v>1.0</v>
      </c>
      <c r="F1673" s="66">
        <v>0.5278</v>
      </c>
      <c r="G1673" s="66">
        <v>0.2931</v>
      </c>
      <c r="I1673" s="81">
        <f t="shared" si="10"/>
        <v>0.8007505971</v>
      </c>
      <c r="J1673" s="81">
        <f t="shared" si="6"/>
        <v>0.5553239864</v>
      </c>
    </row>
    <row r="1674">
      <c r="A1674" s="82">
        <v>44816.0</v>
      </c>
      <c r="B1674" s="66">
        <v>2020.0</v>
      </c>
      <c r="C1674" s="66">
        <v>2.0</v>
      </c>
      <c r="D1674" s="66" t="s">
        <v>204</v>
      </c>
      <c r="E1674" s="66">
        <v>1.0</v>
      </c>
      <c r="F1674" s="66">
        <v>0.8182</v>
      </c>
      <c r="G1674" s="66">
        <v>0.452</v>
      </c>
      <c r="I1674" s="81">
        <f t="shared" si="10"/>
        <v>0.8101769912</v>
      </c>
      <c r="J1674" s="81">
        <f t="shared" si="6"/>
        <v>0.5524321682</v>
      </c>
    </row>
    <row r="1675">
      <c r="A1675" s="82">
        <v>44816.0</v>
      </c>
      <c r="B1675" s="66">
        <v>2025.0</v>
      </c>
      <c r="C1675" s="66">
        <v>4.0</v>
      </c>
      <c r="D1675" s="66" t="s">
        <v>204</v>
      </c>
      <c r="E1675" s="66">
        <v>1.0</v>
      </c>
      <c r="F1675" s="66">
        <v>0.2496</v>
      </c>
      <c r="G1675" s="66">
        <v>0.1315</v>
      </c>
      <c r="I1675" s="81">
        <f t="shared" si="10"/>
        <v>0.8980988593</v>
      </c>
      <c r="J1675" s="81">
        <f t="shared" si="6"/>
        <v>0.5268429487</v>
      </c>
    </row>
    <row r="1676">
      <c r="A1676" s="82">
        <v>44816.0</v>
      </c>
      <c r="B1676" s="66">
        <v>2025.0</v>
      </c>
      <c r="C1676" s="66">
        <v>3.0</v>
      </c>
      <c r="D1676" s="66" t="s">
        <v>204</v>
      </c>
      <c r="E1676" s="66">
        <v>1.0</v>
      </c>
      <c r="F1676" s="66">
        <v>0.0692</v>
      </c>
      <c r="G1676" s="66">
        <v>0.0275</v>
      </c>
      <c r="I1676" s="81">
        <f t="shared" si="10"/>
        <v>1.516363636</v>
      </c>
      <c r="J1676" s="81">
        <f t="shared" si="6"/>
        <v>0.3973988439</v>
      </c>
    </row>
    <row r="1677">
      <c r="A1677" s="82">
        <v>44816.0</v>
      </c>
      <c r="B1677" s="66">
        <v>2029.0</v>
      </c>
      <c r="C1677" s="66">
        <v>1.0</v>
      </c>
      <c r="D1677" s="66" t="s">
        <v>205</v>
      </c>
      <c r="E1677" s="66">
        <v>1.0</v>
      </c>
      <c r="F1677" s="66">
        <v>1.0756</v>
      </c>
      <c r="G1677" s="66">
        <v>0.6878</v>
      </c>
      <c r="I1677" s="81">
        <f t="shared" si="10"/>
        <v>0.5638266938</v>
      </c>
      <c r="J1677" s="81">
        <f t="shared" si="6"/>
        <v>0.6394570472</v>
      </c>
    </row>
    <row r="1678">
      <c r="A1678" s="82">
        <v>44816.0</v>
      </c>
      <c r="B1678" s="66">
        <v>2029.0</v>
      </c>
      <c r="C1678" s="66">
        <v>1.0</v>
      </c>
      <c r="D1678" s="66" t="s">
        <v>205</v>
      </c>
      <c r="E1678" s="66">
        <v>0.0</v>
      </c>
      <c r="F1678" s="66">
        <v>2.373</v>
      </c>
      <c r="G1678" s="66">
        <v>1.4555</v>
      </c>
      <c r="I1678" s="81">
        <f t="shared" si="10"/>
        <v>0.6303675713</v>
      </c>
      <c r="J1678" s="81">
        <f t="shared" si="6"/>
        <v>0.6133586178</v>
      </c>
    </row>
    <row r="1679">
      <c r="A1679" s="82">
        <v>44816.0</v>
      </c>
      <c r="B1679" s="66">
        <v>2030.0</v>
      </c>
      <c r="C1679" s="66">
        <v>1.0</v>
      </c>
      <c r="D1679" s="66" t="s">
        <v>205</v>
      </c>
      <c r="E1679" s="66">
        <v>0.0</v>
      </c>
      <c r="F1679" s="66">
        <v>0.6526</v>
      </c>
      <c r="G1679" s="66">
        <v>0.4055</v>
      </c>
      <c r="I1679" s="81">
        <f t="shared" si="10"/>
        <v>0.6093711467</v>
      </c>
      <c r="J1679" s="81">
        <f t="shared" si="6"/>
        <v>0.621360711</v>
      </c>
    </row>
    <row r="1680">
      <c r="A1680" s="82">
        <v>44819.0</v>
      </c>
      <c r="B1680" s="66">
        <v>2085.0</v>
      </c>
      <c r="C1680" s="66">
        <v>1.0</v>
      </c>
      <c r="D1680" s="66" t="s">
        <v>204</v>
      </c>
      <c r="E1680" s="66">
        <v>1.0</v>
      </c>
      <c r="F1680" s="66">
        <v>0.5134</v>
      </c>
      <c r="G1680" s="66">
        <v>0.2708</v>
      </c>
      <c r="I1680" s="81">
        <f t="shared" si="10"/>
        <v>0.8958641064</v>
      </c>
      <c r="J1680" s="81">
        <f t="shared" si="6"/>
        <v>0.5274639657</v>
      </c>
    </row>
    <row r="1681">
      <c r="A1681" s="82">
        <v>44819.0</v>
      </c>
      <c r="B1681" s="66">
        <v>2085.0</v>
      </c>
      <c r="C1681" s="66">
        <v>1.0</v>
      </c>
      <c r="D1681" s="66" t="s">
        <v>204</v>
      </c>
      <c r="E1681" s="66">
        <v>0.0</v>
      </c>
      <c r="F1681" s="66">
        <v>0.5425</v>
      </c>
      <c r="G1681" s="66">
        <v>0.2945</v>
      </c>
      <c r="I1681" s="81">
        <f t="shared" si="10"/>
        <v>0.8421052632</v>
      </c>
      <c r="J1681" s="81">
        <f t="shared" si="6"/>
        <v>0.5428571429</v>
      </c>
    </row>
    <row r="1682">
      <c r="A1682" s="82">
        <v>44819.0</v>
      </c>
      <c r="B1682" s="66">
        <v>2085.0</v>
      </c>
      <c r="C1682" s="66">
        <v>1.0</v>
      </c>
      <c r="D1682" s="66" t="s">
        <v>205</v>
      </c>
      <c r="E1682" s="66">
        <v>0.0</v>
      </c>
      <c r="F1682" s="66">
        <v>0.883</v>
      </c>
      <c r="G1682" s="66">
        <v>0.4317</v>
      </c>
      <c r="I1682" s="81">
        <f t="shared" si="10"/>
        <v>1.045401899</v>
      </c>
      <c r="J1682" s="81">
        <f t="shared" si="6"/>
        <v>0.4889014723</v>
      </c>
    </row>
    <row r="1683">
      <c r="A1683" s="82">
        <v>44819.0</v>
      </c>
      <c r="B1683" s="66">
        <v>2085.0</v>
      </c>
      <c r="C1683" s="66">
        <v>2.0</v>
      </c>
      <c r="D1683" s="66" t="s">
        <v>205</v>
      </c>
      <c r="E1683" s="66">
        <v>0.0</v>
      </c>
      <c r="F1683" s="66">
        <v>1.18134</v>
      </c>
      <c r="G1683" s="66">
        <v>0.9237</v>
      </c>
      <c r="I1683" s="81">
        <f t="shared" si="10"/>
        <v>0.2789217278</v>
      </c>
      <c r="J1683" s="81">
        <f t="shared" si="6"/>
        <v>0.78190868</v>
      </c>
    </row>
    <row r="1684">
      <c r="A1684" s="82">
        <v>44819.0</v>
      </c>
      <c r="B1684" s="66">
        <v>2085.0</v>
      </c>
      <c r="C1684" s="66">
        <v>2.0</v>
      </c>
      <c r="D1684" s="66" t="s">
        <v>204</v>
      </c>
      <c r="E1684" s="66">
        <v>0.0</v>
      </c>
      <c r="F1684" s="66">
        <v>0.852</v>
      </c>
      <c r="G1684" s="66">
        <v>0.4542</v>
      </c>
      <c r="I1684" s="81">
        <f t="shared" si="10"/>
        <v>0.8758256275</v>
      </c>
      <c r="J1684" s="81">
        <f t="shared" si="6"/>
        <v>0.5330985915</v>
      </c>
    </row>
    <row r="1685">
      <c r="A1685" s="82">
        <v>44819.0</v>
      </c>
      <c r="B1685" s="66">
        <v>2085.0</v>
      </c>
      <c r="C1685" s="66">
        <v>2.0</v>
      </c>
      <c r="D1685" s="66" t="s">
        <v>204</v>
      </c>
      <c r="E1685" s="66">
        <v>1.0</v>
      </c>
      <c r="F1685" s="66">
        <v>0.3501</v>
      </c>
      <c r="G1685" s="66">
        <v>0.1808</v>
      </c>
      <c r="I1685" s="81">
        <f t="shared" si="10"/>
        <v>0.9363938053</v>
      </c>
      <c r="J1685" s="81">
        <f t="shared" si="6"/>
        <v>0.5164238789</v>
      </c>
    </row>
    <row r="1686">
      <c r="A1686" s="82">
        <v>44819.0</v>
      </c>
      <c r="B1686" s="66">
        <v>2085.0</v>
      </c>
      <c r="C1686" s="66">
        <v>3.0</v>
      </c>
      <c r="D1686" s="66" t="s">
        <v>205</v>
      </c>
      <c r="E1686" s="66">
        <v>0.0</v>
      </c>
      <c r="F1686" s="66">
        <v>0.6512</v>
      </c>
      <c r="G1686" s="66">
        <v>0.334</v>
      </c>
      <c r="I1686" s="81">
        <f t="shared" si="10"/>
        <v>0.9497005988</v>
      </c>
      <c r="J1686" s="81">
        <f t="shared" si="6"/>
        <v>0.5128992629</v>
      </c>
    </row>
    <row r="1687">
      <c r="A1687" s="82">
        <v>44819.0</v>
      </c>
      <c r="B1687" s="66">
        <v>2085.0</v>
      </c>
      <c r="C1687" s="66">
        <v>3.0</v>
      </c>
      <c r="D1687" s="66" t="s">
        <v>204</v>
      </c>
      <c r="E1687" s="66">
        <v>0.0</v>
      </c>
      <c r="F1687" s="66">
        <v>0.4502</v>
      </c>
      <c r="G1687" s="66">
        <v>0.2422</v>
      </c>
      <c r="I1687" s="81">
        <f t="shared" si="10"/>
        <v>0.8587943848</v>
      </c>
      <c r="J1687" s="81">
        <f t="shared" si="6"/>
        <v>0.5379831186</v>
      </c>
    </row>
    <row r="1688">
      <c r="A1688" s="82">
        <v>44819.0</v>
      </c>
      <c r="B1688" s="66">
        <v>2085.0</v>
      </c>
      <c r="C1688" s="66">
        <v>3.0</v>
      </c>
      <c r="D1688" s="66" t="s">
        <v>204</v>
      </c>
      <c r="E1688" s="66">
        <v>1.0</v>
      </c>
      <c r="F1688" s="66">
        <v>0.488</v>
      </c>
      <c r="G1688" s="66">
        <v>0.2627</v>
      </c>
      <c r="I1688" s="81">
        <f t="shared" si="10"/>
        <v>0.8576322802</v>
      </c>
      <c r="J1688" s="81">
        <f t="shared" si="6"/>
        <v>0.5383196721</v>
      </c>
    </row>
    <row r="1689">
      <c r="A1689" s="82">
        <v>44819.0</v>
      </c>
      <c r="B1689" s="66">
        <v>2089.0</v>
      </c>
      <c r="C1689" s="66">
        <v>1.0</v>
      </c>
      <c r="D1689" s="66" t="s">
        <v>204</v>
      </c>
      <c r="E1689" s="66">
        <v>0.0</v>
      </c>
      <c r="F1689" s="66">
        <v>0.2004</v>
      </c>
      <c r="G1689" s="66">
        <v>0.0991</v>
      </c>
      <c r="I1689" s="81">
        <f t="shared" si="10"/>
        <v>1.022199798</v>
      </c>
      <c r="J1689" s="81">
        <f t="shared" si="6"/>
        <v>0.494510978</v>
      </c>
    </row>
    <row r="1690">
      <c r="A1690" s="82">
        <v>44819.0</v>
      </c>
      <c r="B1690" s="66">
        <v>2089.0</v>
      </c>
      <c r="C1690" s="66">
        <v>1.0</v>
      </c>
      <c r="D1690" s="66" t="s">
        <v>205</v>
      </c>
      <c r="E1690" s="66">
        <v>0.0</v>
      </c>
      <c r="F1690" s="66">
        <v>1.7045</v>
      </c>
      <c r="G1690" s="66">
        <v>0.9304</v>
      </c>
      <c r="I1690" s="81">
        <f t="shared" si="10"/>
        <v>0.8320077386</v>
      </c>
      <c r="J1690" s="81">
        <f t="shared" si="6"/>
        <v>0.5458492226</v>
      </c>
    </row>
    <row r="1691">
      <c r="A1691" s="82">
        <v>44819.0</v>
      </c>
      <c r="B1691" s="66">
        <v>2089.0</v>
      </c>
      <c r="C1691" s="66">
        <v>1.0</v>
      </c>
      <c r="D1691" s="66" t="s">
        <v>204</v>
      </c>
      <c r="E1691" s="66">
        <v>1.0</v>
      </c>
      <c r="F1691" s="66">
        <v>0.4902</v>
      </c>
      <c r="G1691" s="66">
        <v>0.2649</v>
      </c>
      <c r="I1691" s="81">
        <f t="shared" si="10"/>
        <v>0.8505096263</v>
      </c>
      <c r="J1691" s="81">
        <f t="shared" si="6"/>
        <v>0.5403916769</v>
      </c>
    </row>
    <row r="1692">
      <c r="A1692" s="82">
        <v>44819.0</v>
      </c>
      <c r="B1692" s="66">
        <v>2089.0</v>
      </c>
      <c r="C1692" s="66">
        <v>1.0</v>
      </c>
      <c r="D1692" s="66" t="s">
        <v>205</v>
      </c>
      <c r="E1692" s="66">
        <v>1.0</v>
      </c>
      <c r="F1692" s="66">
        <v>1.9935</v>
      </c>
      <c r="G1692" s="66">
        <v>1.1867</v>
      </c>
      <c r="I1692" s="81">
        <f t="shared" si="10"/>
        <v>0.679868543</v>
      </c>
      <c r="J1692" s="81">
        <f t="shared" si="6"/>
        <v>0.5952846752</v>
      </c>
    </row>
    <row r="1693">
      <c r="A1693" s="82">
        <v>44819.0</v>
      </c>
      <c r="B1693" s="66">
        <v>2089.0</v>
      </c>
      <c r="C1693" s="66">
        <v>2.0</v>
      </c>
      <c r="D1693" s="66" t="s">
        <v>204</v>
      </c>
      <c r="E1693" s="66">
        <v>0.0</v>
      </c>
      <c r="F1693" s="66">
        <v>0.2756</v>
      </c>
      <c r="G1693" s="66">
        <v>0.1305</v>
      </c>
      <c r="I1693" s="81">
        <f t="shared" si="10"/>
        <v>1.111877395</v>
      </c>
      <c r="J1693" s="81">
        <f t="shared" si="6"/>
        <v>0.4735123367</v>
      </c>
    </row>
    <row r="1694">
      <c r="A1694" s="82">
        <v>44819.0</v>
      </c>
      <c r="B1694" s="66">
        <v>2089.0</v>
      </c>
      <c r="C1694" s="66">
        <v>2.0</v>
      </c>
      <c r="D1694" s="66" t="s">
        <v>205</v>
      </c>
      <c r="E1694" s="66">
        <v>1.0</v>
      </c>
      <c r="F1694" s="66">
        <v>0.4901</v>
      </c>
      <c r="G1694" s="66">
        <v>0.291</v>
      </c>
      <c r="I1694" s="81">
        <f t="shared" si="10"/>
        <v>0.6841924399</v>
      </c>
      <c r="J1694" s="81">
        <f t="shared" si="6"/>
        <v>0.5937563762</v>
      </c>
    </row>
    <row r="1695">
      <c r="A1695" s="82">
        <v>44819.0</v>
      </c>
      <c r="B1695" s="66">
        <v>2089.0</v>
      </c>
      <c r="C1695" s="66">
        <v>2.0</v>
      </c>
      <c r="D1695" s="66" t="s">
        <v>204</v>
      </c>
      <c r="E1695" s="66">
        <v>1.0</v>
      </c>
      <c r="F1695" s="66">
        <v>0.2262</v>
      </c>
      <c r="G1695" s="66">
        <v>0.1257</v>
      </c>
      <c r="I1695" s="81">
        <f t="shared" si="10"/>
        <v>0.799522673</v>
      </c>
      <c r="J1695" s="81">
        <f t="shared" si="6"/>
        <v>0.5557029178</v>
      </c>
    </row>
    <row r="1696">
      <c r="A1696" s="82">
        <v>44819.0</v>
      </c>
      <c r="B1696" s="66">
        <v>2089.0</v>
      </c>
      <c r="C1696" s="66">
        <v>2.0</v>
      </c>
      <c r="D1696" s="66" t="s">
        <v>205</v>
      </c>
      <c r="E1696" s="66">
        <v>0.0</v>
      </c>
      <c r="F1696" s="66">
        <v>1.2384</v>
      </c>
      <c r="G1696" s="66">
        <v>0.691</v>
      </c>
      <c r="I1696" s="81">
        <f t="shared" si="10"/>
        <v>0.7921852388</v>
      </c>
      <c r="J1696" s="81">
        <f t="shared" si="6"/>
        <v>0.5579780362</v>
      </c>
    </row>
    <row r="1697">
      <c r="A1697" s="82">
        <v>44819.0</v>
      </c>
      <c r="B1697" s="66">
        <v>2089.0</v>
      </c>
      <c r="C1697" s="66">
        <v>3.0</v>
      </c>
      <c r="D1697" s="66" t="s">
        <v>204</v>
      </c>
      <c r="E1697" s="66">
        <v>1.0</v>
      </c>
      <c r="F1697" s="66">
        <v>0.1557</v>
      </c>
      <c r="G1697" s="66">
        <v>0.0823</v>
      </c>
      <c r="I1697" s="81">
        <f t="shared" si="10"/>
        <v>0.8918590522</v>
      </c>
      <c r="J1697" s="81">
        <f t="shared" si="6"/>
        <v>0.5285806037</v>
      </c>
    </row>
    <row r="1698">
      <c r="A1698" s="82">
        <v>44819.0</v>
      </c>
      <c r="B1698" s="66">
        <v>2089.0</v>
      </c>
      <c r="C1698" s="66">
        <v>3.0</v>
      </c>
      <c r="D1698" s="66" t="s">
        <v>204</v>
      </c>
      <c r="E1698" s="66">
        <v>0.0</v>
      </c>
      <c r="F1698" s="66">
        <v>0.1724</v>
      </c>
      <c r="G1698" s="66">
        <v>0.0901</v>
      </c>
      <c r="I1698" s="81">
        <f t="shared" si="10"/>
        <v>0.9134295228</v>
      </c>
      <c r="J1698" s="81">
        <f t="shared" si="6"/>
        <v>0.5226218097</v>
      </c>
    </row>
    <row r="1699">
      <c r="A1699" s="82">
        <v>44819.0</v>
      </c>
      <c r="B1699" s="66">
        <v>2089.0</v>
      </c>
      <c r="C1699" s="66">
        <v>3.0</v>
      </c>
      <c r="D1699" s="66" t="s">
        <v>205</v>
      </c>
      <c r="E1699" s="66">
        <v>1.0</v>
      </c>
      <c r="F1699" s="66">
        <v>0.5033</v>
      </c>
      <c r="G1699" s="66">
        <v>0.304</v>
      </c>
      <c r="I1699" s="81">
        <f t="shared" si="10"/>
        <v>0.6555921053</v>
      </c>
      <c r="J1699" s="81">
        <f t="shared" si="6"/>
        <v>0.6040135108</v>
      </c>
    </row>
    <row r="1700">
      <c r="A1700" s="82">
        <v>44819.0</v>
      </c>
      <c r="B1700" s="66">
        <v>2089.0</v>
      </c>
      <c r="C1700" s="66">
        <v>3.0</v>
      </c>
      <c r="D1700" s="66" t="s">
        <v>205</v>
      </c>
      <c r="E1700" s="66">
        <v>0.0</v>
      </c>
      <c r="F1700" s="66">
        <v>1.0009</v>
      </c>
      <c r="G1700" s="66">
        <v>0.568</v>
      </c>
      <c r="I1700" s="81">
        <f t="shared" si="10"/>
        <v>0.7621478873</v>
      </c>
      <c r="J1700" s="81">
        <f t="shared" si="6"/>
        <v>0.5674892597</v>
      </c>
    </row>
    <row r="1701">
      <c r="A1701" s="82">
        <v>44819.0</v>
      </c>
      <c r="B1701" s="66">
        <v>2086.0</v>
      </c>
      <c r="C1701" s="66">
        <v>1.0</v>
      </c>
      <c r="D1701" s="66" t="s">
        <v>204</v>
      </c>
      <c r="E1701" s="66">
        <v>0.0</v>
      </c>
      <c r="F1701" s="66">
        <v>0.475</v>
      </c>
      <c r="G1701" s="66">
        <v>0.2511</v>
      </c>
      <c r="I1701" s="81">
        <f t="shared" si="10"/>
        <v>0.8916766229</v>
      </c>
      <c r="J1701" s="81">
        <f t="shared" si="6"/>
        <v>0.5286315789</v>
      </c>
    </row>
    <row r="1702">
      <c r="A1702" s="82">
        <v>44819.0</v>
      </c>
      <c r="B1702" s="66">
        <v>2086.0</v>
      </c>
      <c r="C1702" s="66">
        <v>1.0</v>
      </c>
      <c r="D1702" s="66" t="s">
        <v>205</v>
      </c>
      <c r="E1702" s="66">
        <v>0.0</v>
      </c>
      <c r="F1702" s="66">
        <v>1.4716</v>
      </c>
      <c r="G1702" s="66">
        <v>0.7863</v>
      </c>
      <c r="I1702" s="81">
        <f t="shared" si="10"/>
        <v>0.8715502989</v>
      </c>
      <c r="J1702" s="81">
        <f t="shared" si="6"/>
        <v>0.5343163903</v>
      </c>
    </row>
    <row r="1703">
      <c r="A1703" s="82">
        <v>44819.0</v>
      </c>
      <c r="B1703" s="66">
        <v>2086.0</v>
      </c>
      <c r="C1703" s="66">
        <v>1.0</v>
      </c>
      <c r="D1703" s="66" t="s">
        <v>204</v>
      </c>
      <c r="E1703" s="66">
        <v>1.0</v>
      </c>
      <c r="F1703" s="66">
        <v>0.2399</v>
      </c>
      <c r="G1703" s="66">
        <v>0.127</v>
      </c>
      <c r="I1703" s="81">
        <f t="shared" si="10"/>
        <v>0.888976378</v>
      </c>
      <c r="J1703" s="81">
        <f t="shared" si="6"/>
        <v>0.5293872447</v>
      </c>
    </row>
    <row r="1704">
      <c r="A1704" s="82">
        <v>44819.0</v>
      </c>
      <c r="B1704" s="66">
        <v>2086.0</v>
      </c>
      <c r="C1704" s="66">
        <v>2.0</v>
      </c>
      <c r="D1704" s="66" t="s">
        <v>205</v>
      </c>
      <c r="E1704" s="66">
        <v>0.0</v>
      </c>
      <c r="F1704" s="66">
        <v>1.3619</v>
      </c>
      <c r="G1704" s="66">
        <v>0.7027</v>
      </c>
      <c r="I1704" s="81">
        <f t="shared" si="10"/>
        <v>0.9380959158</v>
      </c>
      <c r="J1704" s="81">
        <f t="shared" si="6"/>
        <v>0.5159703356</v>
      </c>
    </row>
    <row r="1705">
      <c r="A1705" s="82">
        <v>44819.0</v>
      </c>
      <c r="B1705" s="66">
        <v>2086.0</v>
      </c>
      <c r="C1705" s="66">
        <v>2.0</v>
      </c>
      <c r="D1705" s="66" t="s">
        <v>204</v>
      </c>
      <c r="E1705" s="66">
        <v>0.0</v>
      </c>
      <c r="F1705" s="66">
        <v>0.2469</v>
      </c>
      <c r="G1705" s="66">
        <v>0.1332</v>
      </c>
      <c r="I1705" s="81">
        <f t="shared" si="10"/>
        <v>0.8536036036</v>
      </c>
      <c r="J1705" s="81">
        <f t="shared" si="6"/>
        <v>0.5394896719</v>
      </c>
    </row>
    <row r="1706">
      <c r="A1706" s="82">
        <v>44819.0</v>
      </c>
      <c r="B1706" s="66">
        <v>2086.0</v>
      </c>
      <c r="C1706" s="66">
        <v>2.0</v>
      </c>
      <c r="D1706" s="66" t="s">
        <v>204</v>
      </c>
      <c r="E1706" s="66">
        <v>1.0</v>
      </c>
      <c r="F1706" s="66">
        <v>0.2508</v>
      </c>
      <c r="G1706" s="66">
        <v>0.1312</v>
      </c>
      <c r="I1706" s="81">
        <f t="shared" si="10"/>
        <v>0.9115853659</v>
      </c>
      <c r="J1706" s="81">
        <f t="shared" si="6"/>
        <v>0.5231259968</v>
      </c>
    </row>
    <row r="1707">
      <c r="A1707" s="82">
        <v>44819.0</v>
      </c>
      <c r="B1707" s="66">
        <v>2086.0</v>
      </c>
      <c r="C1707" s="66">
        <v>3.0</v>
      </c>
      <c r="D1707" s="66" t="s">
        <v>204</v>
      </c>
      <c r="E1707" s="66">
        <v>0.0</v>
      </c>
      <c r="F1707" s="66">
        <v>0.3165</v>
      </c>
      <c r="G1707" s="66">
        <v>0.1573</v>
      </c>
      <c r="I1707" s="81">
        <f t="shared" si="10"/>
        <v>1.01207883</v>
      </c>
      <c r="J1707" s="81">
        <f t="shared" si="6"/>
        <v>0.4969984202</v>
      </c>
    </row>
    <row r="1708">
      <c r="A1708" s="82">
        <v>44819.0</v>
      </c>
      <c r="B1708" s="66">
        <v>2086.0</v>
      </c>
      <c r="C1708" s="66">
        <v>3.0</v>
      </c>
      <c r="D1708" s="66" t="s">
        <v>205</v>
      </c>
      <c r="E1708" s="66">
        <v>0.0</v>
      </c>
      <c r="F1708" s="66">
        <v>1.3541</v>
      </c>
      <c r="G1708" s="66">
        <v>0.6994</v>
      </c>
      <c r="I1708" s="81">
        <f t="shared" si="10"/>
        <v>0.9360880755</v>
      </c>
      <c r="J1708" s="81">
        <f t="shared" si="6"/>
        <v>0.516505428</v>
      </c>
    </row>
    <row r="1709">
      <c r="A1709" s="82">
        <v>44819.0</v>
      </c>
      <c r="B1709" s="66">
        <v>2086.0</v>
      </c>
      <c r="C1709" s="66">
        <v>3.0</v>
      </c>
      <c r="D1709" s="66" t="s">
        <v>204</v>
      </c>
      <c r="E1709" s="66">
        <v>1.0</v>
      </c>
      <c r="F1709" s="66">
        <v>0.5078</v>
      </c>
      <c r="G1709" s="66">
        <v>0.2613</v>
      </c>
      <c r="I1709" s="81">
        <f t="shared" si="10"/>
        <v>0.9433601225</v>
      </c>
      <c r="J1709" s="81">
        <f t="shared" si="6"/>
        <v>0.5145726664</v>
      </c>
    </row>
    <row r="1710">
      <c r="A1710" s="82">
        <v>44819.0</v>
      </c>
      <c r="B1710" s="66">
        <v>2088.0</v>
      </c>
      <c r="C1710" s="66">
        <v>1.0</v>
      </c>
      <c r="D1710" s="66" t="s">
        <v>204</v>
      </c>
      <c r="E1710" s="66">
        <v>1.0</v>
      </c>
      <c r="F1710" s="66">
        <v>0.4216</v>
      </c>
      <c r="G1710" s="66">
        <v>0.2165</v>
      </c>
      <c r="I1710" s="81">
        <f t="shared" si="10"/>
        <v>0.9473441109</v>
      </c>
      <c r="J1710" s="81">
        <f t="shared" si="6"/>
        <v>0.5135199241</v>
      </c>
    </row>
    <row r="1711">
      <c r="A1711" s="82">
        <v>44819.0</v>
      </c>
      <c r="B1711" s="66">
        <v>2088.0</v>
      </c>
      <c r="C1711" s="66">
        <v>1.0</v>
      </c>
      <c r="D1711" s="66" t="s">
        <v>205</v>
      </c>
      <c r="E1711" s="66">
        <v>0.0</v>
      </c>
      <c r="F1711" s="66">
        <v>0.2598</v>
      </c>
      <c r="G1711" s="66">
        <v>0.1263</v>
      </c>
      <c r="I1711" s="81">
        <f t="shared" si="10"/>
        <v>1.057007126</v>
      </c>
      <c r="J1711" s="81">
        <f t="shared" si="6"/>
        <v>0.4861431871</v>
      </c>
    </row>
    <row r="1712">
      <c r="A1712" s="82">
        <v>44819.0</v>
      </c>
      <c r="B1712" s="66">
        <v>2088.0</v>
      </c>
      <c r="C1712" s="66">
        <v>1.0</v>
      </c>
      <c r="D1712" s="66" t="s">
        <v>204</v>
      </c>
      <c r="E1712" s="66">
        <v>0.0</v>
      </c>
      <c r="F1712" s="66">
        <v>0.0497</v>
      </c>
      <c r="G1712" s="66">
        <v>0.0237</v>
      </c>
      <c r="I1712" s="81">
        <f t="shared" si="10"/>
        <v>1.097046414</v>
      </c>
      <c r="J1712" s="81">
        <f t="shared" si="6"/>
        <v>0.476861167</v>
      </c>
    </row>
    <row r="1713">
      <c r="A1713" s="82">
        <v>44819.0</v>
      </c>
      <c r="B1713" s="66">
        <v>2088.0</v>
      </c>
      <c r="C1713" s="66">
        <v>2.0</v>
      </c>
      <c r="D1713" s="66" t="s">
        <v>205</v>
      </c>
      <c r="E1713" s="66">
        <v>0.0</v>
      </c>
      <c r="F1713" s="66">
        <v>0.1917</v>
      </c>
      <c r="G1713" s="66">
        <v>0.0942</v>
      </c>
      <c r="I1713" s="81">
        <f t="shared" si="10"/>
        <v>1.035031847</v>
      </c>
      <c r="J1713" s="81">
        <f t="shared" si="6"/>
        <v>0.4913928013</v>
      </c>
    </row>
    <row r="1714">
      <c r="A1714" s="82">
        <v>44819.0</v>
      </c>
      <c r="B1714" s="66">
        <v>2088.0</v>
      </c>
      <c r="C1714" s="66">
        <v>2.0</v>
      </c>
      <c r="D1714" s="66" t="s">
        <v>204</v>
      </c>
      <c r="E1714" s="66">
        <v>0.0</v>
      </c>
      <c r="F1714" s="66">
        <v>0.2537</v>
      </c>
      <c r="G1714" s="66">
        <v>0.1275</v>
      </c>
      <c r="I1714" s="81">
        <f t="shared" si="10"/>
        <v>0.9898039216</v>
      </c>
      <c r="J1714" s="81">
        <f t="shared" si="6"/>
        <v>0.5025620812</v>
      </c>
    </row>
    <row r="1715">
      <c r="A1715" s="82">
        <v>44819.0</v>
      </c>
      <c r="B1715" s="66">
        <v>2088.0</v>
      </c>
      <c r="C1715" s="66">
        <v>2.0</v>
      </c>
      <c r="D1715" s="66" t="s">
        <v>204</v>
      </c>
      <c r="E1715" s="66">
        <v>1.0</v>
      </c>
      <c r="F1715" s="66">
        <v>0.2562</v>
      </c>
      <c r="G1715" s="66">
        <v>0.1275</v>
      </c>
      <c r="I1715" s="81">
        <f t="shared" si="10"/>
        <v>1.009411765</v>
      </c>
      <c r="J1715" s="81">
        <f t="shared" si="6"/>
        <v>0.4976580796</v>
      </c>
    </row>
    <row r="1716">
      <c r="A1716" s="82">
        <v>44819.0</v>
      </c>
      <c r="B1716" s="66">
        <v>2088.0</v>
      </c>
      <c r="C1716" s="66">
        <v>3.0</v>
      </c>
      <c r="D1716" s="66" t="s">
        <v>205</v>
      </c>
      <c r="E1716" s="66">
        <v>0.0</v>
      </c>
      <c r="F1716" s="66">
        <v>0.2292</v>
      </c>
      <c r="G1716" s="66">
        <v>0.1135</v>
      </c>
      <c r="I1716" s="81">
        <f t="shared" si="10"/>
        <v>1.01938326</v>
      </c>
      <c r="J1716" s="81">
        <f t="shared" si="6"/>
        <v>0.4952006981</v>
      </c>
    </row>
    <row r="1717">
      <c r="A1717" s="82">
        <v>44819.0</v>
      </c>
      <c r="B1717" s="66">
        <v>2088.0</v>
      </c>
      <c r="C1717" s="66">
        <v>3.0</v>
      </c>
      <c r="D1717" s="66" t="s">
        <v>204</v>
      </c>
      <c r="E1717" s="66">
        <v>0.0</v>
      </c>
      <c r="F1717" s="66">
        <v>0.0637</v>
      </c>
      <c r="G1717" s="66">
        <v>0.0315</v>
      </c>
      <c r="I1717" s="81">
        <f t="shared" si="10"/>
        <v>1.022222222</v>
      </c>
      <c r="J1717" s="81">
        <f t="shared" si="6"/>
        <v>0.4945054945</v>
      </c>
    </row>
    <row r="1718">
      <c r="A1718" s="82">
        <v>44819.0</v>
      </c>
      <c r="B1718" s="66">
        <v>2088.0</v>
      </c>
      <c r="C1718" s="66">
        <v>3.0</v>
      </c>
      <c r="D1718" s="66" t="s">
        <v>204</v>
      </c>
      <c r="E1718" s="66">
        <v>1.0</v>
      </c>
      <c r="F1718" s="66">
        <v>0.2442</v>
      </c>
      <c r="G1718" s="66">
        <v>0.1272</v>
      </c>
      <c r="I1718" s="81">
        <f t="shared" si="10"/>
        <v>0.9198113208</v>
      </c>
      <c r="J1718" s="81">
        <f t="shared" si="6"/>
        <v>0.5208845209</v>
      </c>
    </row>
    <row r="1719">
      <c r="A1719" s="82">
        <v>44819.0</v>
      </c>
      <c r="B1719" s="66">
        <v>2090.0</v>
      </c>
      <c r="C1719" s="66">
        <v>1.0</v>
      </c>
      <c r="D1719" s="66" t="s">
        <v>204</v>
      </c>
      <c r="E1719" s="66">
        <v>0.0</v>
      </c>
      <c r="F1719" s="66">
        <v>0.1947</v>
      </c>
      <c r="G1719" s="66">
        <v>0.0956</v>
      </c>
      <c r="I1719" s="81">
        <f t="shared" si="10"/>
        <v>1.036610879</v>
      </c>
      <c r="J1719" s="81">
        <f t="shared" si="6"/>
        <v>0.491011813</v>
      </c>
    </row>
    <row r="1720">
      <c r="A1720" s="82">
        <v>44819.0</v>
      </c>
      <c r="B1720" s="66">
        <v>2090.0</v>
      </c>
      <c r="C1720" s="66">
        <v>1.0</v>
      </c>
      <c r="D1720" s="66" t="s">
        <v>205</v>
      </c>
      <c r="E1720" s="66">
        <v>0.0</v>
      </c>
      <c r="F1720" s="66">
        <v>1.5501</v>
      </c>
      <c r="G1720" s="66">
        <v>0.735</v>
      </c>
      <c r="I1720" s="81">
        <f t="shared" si="10"/>
        <v>1.108979592</v>
      </c>
      <c r="J1720" s="81">
        <f t="shared" si="6"/>
        <v>0.4741629572</v>
      </c>
    </row>
    <row r="1721">
      <c r="A1721" s="82">
        <v>44819.0</v>
      </c>
      <c r="B1721" s="66">
        <v>2090.0</v>
      </c>
      <c r="C1721" s="66">
        <v>1.0</v>
      </c>
      <c r="D1721" s="66" t="s">
        <v>204</v>
      </c>
      <c r="E1721" s="66">
        <v>1.0</v>
      </c>
      <c r="F1721" s="66">
        <v>0.4399</v>
      </c>
      <c r="G1721" s="66">
        <v>0.191</v>
      </c>
      <c r="I1721" s="81">
        <f t="shared" si="10"/>
        <v>1.303141361</v>
      </c>
      <c r="J1721" s="81">
        <f t="shared" si="6"/>
        <v>0.4341895885</v>
      </c>
    </row>
    <row r="1722">
      <c r="A1722" s="82">
        <v>44819.0</v>
      </c>
      <c r="B1722" s="66">
        <v>2090.0</v>
      </c>
      <c r="C1722" s="66">
        <v>2.0</v>
      </c>
      <c r="D1722" s="66" t="s">
        <v>205</v>
      </c>
      <c r="E1722" s="66">
        <v>0.0</v>
      </c>
      <c r="F1722" s="66">
        <v>1.136</v>
      </c>
      <c r="G1722" s="66">
        <v>0.5475</v>
      </c>
      <c r="I1722" s="81">
        <f t="shared" si="10"/>
        <v>1.074885845</v>
      </c>
      <c r="J1722" s="81">
        <f t="shared" si="6"/>
        <v>0.4819542254</v>
      </c>
    </row>
    <row r="1723">
      <c r="A1723" s="82">
        <v>44819.0</v>
      </c>
      <c r="B1723" s="66">
        <v>2090.0</v>
      </c>
      <c r="C1723" s="66">
        <v>2.0</v>
      </c>
      <c r="D1723" s="66" t="s">
        <v>204</v>
      </c>
      <c r="E1723" s="66">
        <v>0.0</v>
      </c>
      <c r="F1723" s="66">
        <v>0.1078</v>
      </c>
      <c r="G1723" s="66">
        <v>0.0575</v>
      </c>
      <c r="I1723" s="81">
        <f t="shared" si="10"/>
        <v>0.8747826087</v>
      </c>
      <c r="J1723" s="81">
        <f t="shared" si="6"/>
        <v>0.5333951763</v>
      </c>
    </row>
    <row r="1724">
      <c r="A1724" s="82">
        <v>44819.0</v>
      </c>
      <c r="B1724" s="66">
        <v>2090.0</v>
      </c>
      <c r="C1724" s="66">
        <v>2.0</v>
      </c>
      <c r="D1724" s="66" t="s">
        <v>204</v>
      </c>
      <c r="E1724" s="66">
        <v>1.0</v>
      </c>
      <c r="F1724" s="66">
        <v>0.3749</v>
      </c>
      <c r="G1724" s="66">
        <v>0.1781</v>
      </c>
      <c r="I1724" s="81">
        <f t="shared" si="10"/>
        <v>1.104997193</v>
      </c>
      <c r="J1724" s="81">
        <f t="shared" si="6"/>
        <v>0.475060016</v>
      </c>
    </row>
    <row r="1725">
      <c r="A1725" s="82">
        <v>44819.0</v>
      </c>
      <c r="B1725" s="66">
        <v>2090.0</v>
      </c>
      <c r="C1725" s="66">
        <v>3.0</v>
      </c>
      <c r="D1725" s="66" t="s">
        <v>204</v>
      </c>
      <c r="E1725" s="66">
        <v>0.0</v>
      </c>
      <c r="F1725" s="66">
        <v>0.2293</v>
      </c>
      <c r="G1725" s="66">
        <v>0.1085</v>
      </c>
      <c r="I1725" s="81">
        <f t="shared" si="10"/>
        <v>1.113364055</v>
      </c>
      <c r="J1725" s="81">
        <f t="shared" si="6"/>
        <v>0.4731792412</v>
      </c>
    </row>
    <row r="1726">
      <c r="A1726" s="82">
        <v>44819.0</v>
      </c>
      <c r="B1726" s="66">
        <v>2090.0</v>
      </c>
      <c r="C1726" s="66">
        <v>3.0</v>
      </c>
      <c r="D1726" s="66" t="s">
        <v>205</v>
      </c>
      <c r="E1726" s="66">
        <v>0.0</v>
      </c>
      <c r="F1726" s="66">
        <v>1.1259</v>
      </c>
      <c r="G1726" s="66">
        <v>0.5387</v>
      </c>
      <c r="I1726" s="81">
        <f t="shared" si="10"/>
        <v>1.090031557</v>
      </c>
      <c r="J1726" s="81">
        <f t="shared" si="6"/>
        <v>0.4784616751</v>
      </c>
    </row>
    <row r="1727">
      <c r="A1727" s="82">
        <v>44819.0</v>
      </c>
      <c r="B1727" s="66">
        <v>2090.0</v>
      </c>
      <c r="C1727" s="66">
        <v>3.0</v>
      </c>
      <c r="D1727" s="66" t="s">
        <v>204</v>
      </c>
      <c r="E1727" s="66">
        <v>1.0</v>
      </c>
      <c r="F1727" s="66">
        <v>0.8074</v>
      </c>
      <c r="G1727" s="66">
        <v>0.3687</v>
      </c>
      <c r="I1727" s="81">
        <f t="shared" si="10"/>
        <v>1.189856252</v>
      </c>
      <c r="J1727" s="81">
        <f t="shared" si="6"/>
        <v>0.4566509784</v>
      </c>
    </row>
    <row r="1728">
      <c r="A1728" s="82">
        <v>44819.0</v>
      </c>
      <c r="B1728" s="66">
        <v>2091.0</v>
      </c>
      <c r="C1728" s="66">
        <v>1.0</v>
      </c>
      <c r="D1728" s="66" t="s">
        <v>205</v>
      </c>
      <c r="E1728" s="66">
        <v>1.0</v>
      </c>
      <c r="F1728" s="66">
        <v>1.2911</v>
      </c>
      <c r="G1728" s="66">
        <v>0.8011</v>
      </c>
      <c r="I1728" s="81">
        <f t="shared" si="10"/>
        <v>0.6116589689</v>
      </c>
      <c r="J1728" s="81">
        <f t="shared" si="6"/>
        <v>0.6204786616</v>
      </c>
    </row>
    <row r="1729">
      <c r="A1729" s="82">
        <v>44819.0</v>
      </c>
      <c r="B1729" s="66">
        <v>2091.0</v>
      </c>
      <c r="C1729" s="66">
        <v>1.0</v>
      </c>
      <c r="D1729" s="66" t="s">
        <v>205</v>
      </c>
      <c r="E1729" s="66">
        <v>0.0</v>
      </c>
      <c r="F1729" s="66">
        <v>2.1263</v>
      </c>
      <c r="G1729" s="66">
        <v>1.1885</v>
      </c>
      <c r="I1729" s="81">
        <f t="shared" si="10"/>
        <v>0.7890618427</v>
      </c>
      <c r="J1729" s="81">
        <f t="shared" si="6"/>
        <v>0.5589521704</v>
      </c>
    </row>
    <row r="1730">
      <c r="A1730" s="82">
        <v>44819.0</v>
      </c>
      <c r="B1730" s="66">
        <v>2091.0</v>
      </c>
      <c r="C1730" s="66">
        <v>1.0</v>
      </c>
      <c r="D1730" s="66" t="s">
        <v>204</v>
      </c>
      <c r="E1730" s="66">
        <v>0.0</v>
      </c>
      <c r="F1730" s="66">
        <v>0.6903</v>
      </c>
      <c r="G1730" s="66">
        <v>0.3716</v>
      </c>
      <c r="I1730" s="81">
        <f t="shared" si="10"/>
        <v>0.8576426265</v>
      </c>
      <c r="J1730" s="81">
        <f t="shared" si="6"/>
        <v>0.5383166739</v>
      </c>
    </row>
    <row r="1731">
      <c r="A1731" s="82">
        <v>44819.0</v>
      </c>
      <c r="B1731" s="66">
        <v>2091.0</v>
      </c>
      <c r="C1731" s="66">
        <v>1.0</v>
      </c>
      <c r="D1731" s="66" t="s">
        <v>204</v>
      </c>
      <c r="E1731" s="66">
        <v>1.0</v>
      </c>
      <c r="F1731" s="66">
        <v>0.8116</v>
      </c>
      <c r="G1731" s="66">
        <v>0.4399</v>
      </c>
      <c r="I1731" s="81">
        <f t="shared" si="10"/>
        <v>0.8449647647</v>
      </c>
      <c r="J1731" s="81">
        <f t="shared" si="6"/>
        <v>0.5420157713</v>
      </c>
    </row>
    <row r="1732">
      <c r="A1732" s="82"/>
      <c r="B1732" s="66"/>
      <c r="C1732" s="66"/>
      <c r="D1732" s="66"/>
      <c r="F1732" s="66"/>
      <c r="G1732" s="66"/>
    </row>
    <row r="1733">
      <c r="A1733" s="82"/>
      <c r="B1733" s="66"/>
      <c r="C1733" s="66"/>
      <c r="D1733" s="66"/>
      <c r="F1733" s="66"/>
      <c r="G1733" s="66"/>
    </row>
    <row r="1734">
      <c r="A1734" s="82"/>
      <c r="B1734" s="66"/>
      <c r="C1734" s="66"/>
      <c r="D1734" s="66"/>
      <c r="F1734" s="66"/>
      <c r="G1734" s="66"/>
    </row>
    <row r="1735">
      <c r="A1735" s="82"/>
      <c r="B1735" s="66"/>
      <c r="C1735" s="66"/>
      <c r="D1735" s="66"/>
      <c r="F1735" s="66"/>
      <c r="G1735" s="66"/>
    </row>
    <row r="1736">
      <c r="A1736" s="82"/>
      <c r="B1736" s="66"/>
      <c r="C1736" s="66"/>
      <c r="D1736" s="66"/>
      <c r="F1736" s="66"/>
      <c r="G1736" s="66"/>
    </row>
    <row r="1737">
      <c r="A1737" s="82"/>
      <c r="B1737" s="66"/>
      <c r="C1737" s="66"/>
      <c r="D1737" s="66"/>
      <c r="F1737" s="66"/>
      <c r="G1737" s="66"/>
    </row>
    <row r="1738">
      <c r="A1738" s="82"/>
      <c r="B1738" s="66"/>
      <c r="C1738" s="66"/>
      <c r="D1738" s="66"/>
      <c r="F1738" s="66"/>
      <c r="G1738" s="66"/>
    </row>
    <row r="1739">
      <c r="A1739" s="82"/>
      <c r="B1739" s="66"/>
      <c r="C1739" s="66"/>
      <c r="D1739" s="66"/>
      <c r="F1739" s="66"/>
      <c r="G1739" s="66"/>
    </row>
    <row r="1740">
      <c r="A1740" s="82"/>
      <c r="B1740" s="66"/>
      <c r="C1740" s="66"/>
      <c r="D1740" s="66"/>
      <c r="F1740" s="66"/>
      <c r="G1740" s="66"/>
    </row>
    <row r="1741">
      <c r="A1741" s="82"/>
      <c r="B1741" s="66"/>
      <c r="C1741" s="66"/>
      <c r="D1741" s="66"/>
      <c r="F1741" s="66"/>
      <c r="G1741" s="66"/>
    </row>
    <row r="1742">
      <c r="A1742" s="82"/>
      <c r="B1742" s="66"/>
      <c r="C1742" s="66"/>
      <c r="D1742" s="66"/>
      <c r="F1742" s="66"/>
      <c r="G1742" s="66"/>
    </row>
    <row r="1743">
      <c r="A1743" s="82"/>
      <c r="B1743" s="66"/>
      <c r="C1743" s="66"/>
      <c r="D1743" s="66"/>
      <c r="F1743" s="66"/>
      <c r="G1743" s="66"/>
    </row>
    <row r="1744">
      <c r="A1744" s="82"/>
      <c r="B1744" s="66"/>
      <c r="C1744" s="66"/>
      <c r="D1744" s="66"/>
      <c r="F1744" s="66"/>
      <c r="G1744" s="66"/>
    </row>
    <row r="1745">
      <c r="A1745" s="82"/>
      <c r="B1745" s="66"/>
      <c r="C1745" s="66"/>
      <c r="D1745" s="66"/>
      <c r="F1745" s="66"/>
      <c r="G1745" s="66"/>
    </row>
    <row r="1746">
      <c r="A1746" s="82"/>
      <c r="B1746" s="66"/>
      <c r="C1746" s="66"/>
      <c r="D1746" s="66"/>
      <c r="F1746" s="66"/>
      <c r="G1746" s="66"/>
    </row>
    <row r="1747">
      <c r="A1747" s="82"/>
      <c r="B1747" s="66"/>
      <c r="C1747" s="66"/>
      <c r="D1747" s="66"/>
      <c r="F1747" s="66"/>
      <c r="G1747" s="66"/>
    </row>
    <row r="1748">
      <c r="A1748" s="82"/>
      <c r="B1748" s="66"/>
      <c r="C1748" s="66"/>
      <c r="D1748" s="66"/>
      <c r="F1748" s="66"/>
      <c r="G1748" s="66"/>
    </row>
    <row r="1749">
      <c r="A1749" s="82"/>
      <c r="B1749" s="66"/>
      <c r="C1749" s="66"/>
      <c r="D1749" s="66"/>
      <c r="F1749" s="66"/>
      <c r="G1749" s="66"/>
    </row>
    <row r="1750">
      <c r="A1750" s="82"/>
      <c r="B1750" s="66"/>
      <c r="C1750" s="66"/>
      <c r="D1750" s="66"/>
      <c r="F1750" s="66"/>
      <c r="G1750" s="66"/>
    </row>
    <row r="1751">
      <c r="A1751" s="82"/>
      <c r="B1751" s="66"/>
      <c r="C1751" s="66"/>
      <c r="D1751" s="66"/>
      <c r="F1751" s="66"/>
      <c r="G1751" s="66"/>
    </row>
    <row r="1752">
      <c r="A1752" s="82"/>
      <c r="B1752" s="66"/>
      <c r="C1752" s="66"/>
      <c r="D1752" s="66"/>
      <c r="F1752" s="66"/>
      <c r="G1752" s="66"/>
    </row>
    <row r="1753">
      <c r="A1753" s="82"/>
      <c r="B1753" s="66"/>
      <c r="C1753" s="66"/>
      <c r="D1753" s="66"/>
      <c r="F1753" s="66"/>
      <c r="G1753" s="66"/>
    </row>
    <row r="1754">
      <c r="A1754" s="82"/>
      <c r="B1754" s="66"/>
      <c r="C1754" s="66"/>
      <c r="D1754" s="66"/>
      <c r="F1754" s="66"/>
      <c r="G1754" s="66"/>
    </row>
    <row r="1755">
      <c r="A1755" s="82"/>
      <c r="B1755" s="66"/>
      <c r="C1755" s="66"/>
      <c r="D1755" s="66"/>
      <c r="F1755" s="66"/>
      <c r="G1755" s="66"/>
    </row>
    <row r="1756">
      <c r="A1756" s="82"/>
      <c r="B1756" s="66"/>
      <c r="C1756" s="66"/>
      <c r="D1756" s="66"/>
      <c r="F1756" s="66"/>
      <c r="G1756" s="66"/>
    </row>
    <row r="1757">
      <c r="A1757" s="82"/>
      <c r="B1757" s="66"/>
      <c r="C1757" s="66"/>
      <c r="D1757" s="66"/>
      <c r="F1757" s="66"/>
      <c r="G1757" s="66"/>
    </row>
    <row r="1758">
      <c r="A1758" s="82"/>
      <c r="B1758" s="66"/>
      <c r="C1758" s="66"/>
      <c r="D1758" s="66"/>
      <c r="F1758" s="66"/>
      <c r="G1758" s="66"/>
    </row>
    <row r="1759">
      <c r="A1759" s="82"/>
      <c r="B1759" s="66"/>
      <c r="C1759" s="66"/>
      <c r="D1759" s="66"/>
      <c r="F1759" s="66"/>
      <c r="G1759" s="66"/>
    </row>
    <row r="1760">
      <c r="A1760" s="82"/>
      <c r="B1760" s="66"/>
      <c r="C1760" s="66"/>
      <c r="D1760" s="66"/>
      <c r="F1760" s="66"/>
      <c r="G1760" s="66"/>
    </row>
    <row r="1761">
      <c r="A1761" s="82"/>
      <c r="B1761" s="66"/>
      <c r="C1761" s="66"/>
      <c r="D1761" s="66"/>
      <c r="F1761" s="66"/>
      <c r="G1761" s="66"/>
    </row>
    <row r="1762">
      <c r="A1762" s="82"/>
      <c r="B1762" s="66"/>
      <c r="C1762" s="66"/>
      <c r="D1762" s="66"/>
      <c r="F1762" s="66"/>
      <c r="G1762" s="66"/>
    </row>
    <row r="1763">
      <c r="A1763" s="82"/>
      <c r="B1763" s="66"/>
      <c r="C1763" s="66"/>
      <c r="D1763" s="66"/>
      <c r="F1763" s="66"/>
      <c r="G1763" s="66"/>
    </row>
    <row r="1764">
      <c r="A1764" s="82"/>
      <c r="B1764" s="66"/>
      <c r="C1764" s="66"/>
      <c r="D1764" s="66"/>
      <c r="F1764" s="66"/>
      <c r="G1764" s="66"/>
    </row>
    <row r="1765">
      <c r="A1765" s="82"/>
      <c r="B1765" s="66"/>
      <c r="C1765" s="66"/>
      <c r="D1765" s="66"/>
      <c r="F1765" s="66"/>
      <c r="G1765" s="66"/>
    </row>
    <row r="1766">
      <c r="A1766" s="82"/>
      <c r="B1766" s="66"/>
      <c r="C1766" s="66"/>
      <c r="D1766" s="66"/>
      <c r="F1766" s="66"/>
      <c r="G1766" s="66"/>
    </row>
    <row r="1767">
      <c r="A1767" s="82"/>
      <c r="B1767" s="66"/>
      <c r="C1767" s="66"/>
      <c r="D1767" s="66"/>
      <c r="F1767" s="66"/>
      <c r="G1767" s="66"/>
    </row>
    <row r="1768">
      <c r="A1768" s="82"/>
      <c r="B1768" s="66"/>
      <c r="C1768" s="66"/>
      <c r="D1768" s="66"/>
      <c r="F1768" s="66"/>
      <c r="G1768" s="66"/>
    </row>
    <row r="1769">
      <c r="A1769" s="82"/>
      <c r="B1769" s="66"/>
      <c r="C1769" s="66"/>
      <c r="D1769" s="66"/>
      <c r="F1769" s="66"/>
      <c r="G1769" s="66"/>
    </row>
    <row r="1770">
      <c r="A1770" s="82"/>
      <c r="B1770" s="66"/>
      <c r="C1770" s="66"/>
      <c r="D1770" s="66"/>
      <c r="F1770" s="66"/>
      <c r="G1770" s="66"/>
    </row>
    <row r="1771">
      <c r="A1771" s="82"/>
      <c r="B1771" s="66"/>
      <c r="C1771" s="66"/>
      <c r="D1771" s="66"/>
      <c r="F1771" s="66"/>
      <c r="G1771" s="66"/>
    </row>
    <row r="1772">
      <c r="A1772" s="82"/>
      <c r="B1772" s="66"/>
      <c r="C1772" s="66"/>
      <c r="D1772" s="66"/>
      <c r="F1772" s="66"/>
      <c r="G1772" s="66"/>
    </row>
    <row r="1773">
      <c r="A1773" s="82"/>
      <c r="B1773" s="66"/>
      <c r="C1773" s="66"/>
      <c r="D1773" s="66"/>
      <c r="F1773" s="66"/>
      <c r="G1773" s="66"/>
    </row>
    <row r="1774">
      <c r="A1774" s="82"/>
      <c r="B1774" s="66"/>
      <c r="C1774" s="66"/>
      <c r="D1774" s="66"/>
      <c r="F1774" s="66"/>
      <c r="G1774" s="66"/>
    </row>
    <row r="1775">
      <c r="A1775" s="82"/>
      <c r="B1775" s="66"/>
      <c r="C1775" s="66"/>
      <c r="D1775" s="66"/>
      <c r="F1775" s="66"/>
      <c r="G1775" s="66"/>
    </row>
    <row r="1776">
      <c r="A1776" s="82"/>
      <c r="B1776" s="66"/>
      <c r="C1776" s="66"/>
      <c r="D1776" s="66"/>
      <c r="F1776" s="66"/>
      <c r="G1776" s="66"/>
    </row>
    <row r="1777">
      <c r="A1777" s="82"/>
      <c r="B1777" s="66"/>
      <c r="C1777" s="66"/>
      <c r="D1777" s="66"/>
      <c r="F1777" s="66"/>
      <c r="G1777" s="66"/>
    </row>
    <row r="1778">
      <c r="A1778" s="82"/>
      <c r="B1778" s="66"/>
      <c r="C1778" s="66"/>
      <c r="D1778" s="66"/>
      <c r="F1778" s="66"/>
      <c r="G1778" s="66"/>
    </row>
    <row r="1779">
      <c r="A1779" s="82"/>
      <c r="B1779" s="66"/>
      <c r="C1779" s="66"/>
      <c r="D1779" s="66"/>
      <c r="F1779" s="66"/>
      <c r="G1779" s="66"/>
    </row>
    <row r="1780">
      <c r="A1780" s="82"/>
      <c r="B1780" s="66"/>
      <c r="C1780" s="66"/>
      <c r="D1780" s="66"/>
      <c r="F1780" s="66"/>
      <c r="G1780" s="66"/>
    </row>
    <row r="1781">
      <c r="A1781" s="82"/>
      <c r="B1781" s="66"/>
      <c r="C1781" s="66"/>
      <c r="D1781" s="66"/>
      <c r="F1781" s="66"/>
      <c r="G1781" s="66"/>
    </row>
    <row r="1782">
      <c r="A1782" s="82"/>
      <c r="B1782" s="66"/>
      <c r="C1782" s="66"/>
      <c r="D1782" s="66"/>
      <c r="F1782" s="66"/>
      <c r="G1782" s="66"/>
    </row>
    <row r="1783">
      <c r="A1783" s="82"/>
      <c r="B1783" s="66"/>
      <c r="C1783" s="66"/>
      <c r="D1783" s="66"/>
      <c r="F1783" s="66"/>
      <c r="G1783" s="66"/>
    </row>
    <row r="1784">
      <c r="A1784" s="82"/>
      <c r="B1784" s="66"/>
      <c r="C1784" s="66"/>
      <c r="D1784" s="66"/>
      <c r="F1784" s="66"/>
      <c r="G1784" s="66"/>
    </row>
    <row r="1785">
      <c r="A1785" s="82"/>
      <c r="B1785" s="66"/>
      <c r="C1785" s="66"/>
      <c r="D1785" s="66"/>
      <c r="F1785" s="66"/>
      <c r="G1785" s="66"/>
    </row>
    <row r="1786">
      <c r="A1786" s="82"/>
      <c r="B1786" s="66"/>
      <c r="C1786" s="66"/>
      <c r="D1786" s="66"/>
      <c r="F1786" s="66"/>
      <c r="G1786" s="66"/>
    </row>
    <row r="1787">
      <c r="A1787" s="82"/>
      <c r="B1787" s="66"/>
      <c r="C1787" s="66"/>
      <c r="D1787" s="66"/>
      <c r="F1787" s="66"/>
      <c r="G1787" s="66"/>
    </row>
    <row r="1788">
      <c r="A1788" s="82"/>
      <c r="B1788" s="66"/>
      <c r="C1788" s="66"/>
      <c r="D1788" s="66"/>
      <c r="F1788" s="66"/>
      <c r="G1788" s="66"/>
    </row>
    <row r="1789">
      <c r="A1789" s="82"/>
      <c r="B1789" s="66"/>
      <c r="C1789" s="66"/>
      <c r="D1789" s="66"/>
      <c r="F1789" s="66"/>
      <c r="G1789" s="66"/>
    </row>
    <row r="1790">
      <c r="A1790" s="82"/>
      <c r="B1790" s="66"/>
      <c r="C1790" s="66"/>
      <c r="D1790" s="66"/>
      <c r="F1790" s="66"/>
      <c r="G1790" s="66"/>
    </row>
    <row r="1791">
      <c r="A1791" s="82"/>
      <c r="B1791" s="66"/>
      <c r="C1791" s="66"/>
      <c r="D1791" s="66"/>
      <c r="F1791" s="66"/>
      <c r="G1791" s="66"/>
    </row>
    <row r="1792">
      <c r="A1792" s="82"/>
      <c r="B1792" s="66"/>
      <c r="C1792" s="66"/>
      <c r="D1792" s="66"/>
      <c r="F1792" s="66"/>
      <c r="G1792" s="66"/>
    </row>
    <row r="1793">
      <c r="A1793" s="82"/>
      <c r="B1793" s="66"/>
      <c r="C1793" s="66"/>
      <c r="D1793" s="66"/>
      <c r="F1793" s="66"/>
      <c r="G1793" s="66"/>
    </row>
    <row r="1794">
      <c r="A1794" s="82"/>
      <c r="B1794" s="66"/>
      <c r="C1794" s="66"/>
      <c r="D1794" s="66"/>
      <c r="F1794" s="66"/>
      <c r="G1794" s="66"/>
    </row>
    <row r="1795">
      <c r="A1795" s="82"/>
      <c r="B1795" s="66"/>
      <c r="C1795" s="66"/>
      <c r="D1795" s="66"/>
      <c r="F1795" s="66"/>
      <c r="G1795" s="66"/>
    </row>
    <row r="1796">
      <c r="A1796" s="82"/>
      <c r="B1796" s="66"/>
      <c r="C1796" s="66"/>
      <c r="D1796" s="66"/>
      <c r="F1796" s="66"/>
      <c r="G1796" s="66"/>
    </row>
    <row r="1797">
      <c r="A1797" s="82"/>
      <c r="B1797" s="66"/>
      <c r="C1797" s="66"/>
      <c r="D1797" s="66"/>
      <c r="F1797" s="66"/>
      <c r="G1797" s="66"/>
    </row>
    <row r="1798">
      <c r="A1798" s="82"/>
      <c r="B1798" s="66"/>
      <c r="C1798" s="66"/>
      <c r="D1798" s="66"/>
      <c r="F1798" s="66"/>
      <c r="G1798" s="66"/>
    </row>
    <row r="1799">
      <c r="A1799" s="82"/>
      <c r="B1799" s="66"/>
      <c r="C1799" s="66"/>
      <c r="D1799" s="66"/>
      <c r="F1799" s="66"/>
      <c r="G1799" s="66"/>
    </row>
    <row r="1800">
      <c r="A1800" s="82"/>
      <c r="B1800" s="66"/>
      <c r="C1800" s="66"/>
      <c r="D1800" s="66"/>
      <c r="F1800" s="66"/>
      <c r="G1800" s="66"/>
    </row>
    <row r="1801">
      <c r="A1801" s="82"/>
      <c r="B1801" s="66"/>
      <c r="C1801" s="66"/>
      <c r="D1801" s="66"/>
      <c r="F1801" s="66"/>
      <c r="G1801" s="66"/>
    </row>
    <row r="1802">
      <c r="A1802" s="82"/>
      <c r="B1802" s="66"/>
      <c r="C1802" s="66"/>
      <c r="D1802" s="66"/>
      <c r="F1802" s="66"/>
      <c r="G1802" s="66"/>
    </row>
    <row r="1803">
      <c r="A1803" s="82"/>
      <c r="B1803" s="66"/>
      <c r="C1803" s="66"/>
      <c r="D1803" s="66"/>
      <c r="F1803" s="66"/>
      <c r="G1803" s="66"/>
    </row>
    <row r="1804">
      <c r="A1804" s="82"/>
      <c r="B1804" s="66"/>
      <c r="C1804" s="66"/>
      <c r="D1804" s="66"/>
      <c r="F1804" s="66"/>
      <c r="G1804" s="66"/>
    </row>
    <row r="1805">
      <c r="A1805" s="82"/>
      <c r="B1805" s="66"/>
      <c r="C1805" s="66"/>
      <c r="D1805" s="66"/>
      <c r="F1805" s="66"/>
      <c r="G1805" s="66"/>
    </row>
    <row r="1806">
      <c r="A1806" s="82"/>
      <c r="B1806" s="66"/>
      <c r="C1806" s="66"/>
      <c r="D1806" s="66"/>
      <c r="F1806" s="66"/>
      <c r="G1806" s="66"/>
    </row>
    <row r="1807">
      <c r="A1807" s="82"/>
      <c r="B1807" s="66"/>
      <c r="C1807" s="66"/>
      <c r="D1807" s="66"/>
      <c r="F1807" s="66"/>
      <c r="G1807" s="66"/>
    </row>
    <row r="1808">
      <c r="A1808" s="82"/>
      <c r="B1808" s="66"/>
      <c r="C1808" s="66"/>
      <c r="D1808" s="66"/>
      <c r="F1808" s="66"/>
      <c r="G1808" s="66"/>
    </row>
    <row r="1809">
      <c r="A1809" s="82"/>
      <c r="B1809" s="66"/>
      <c r="C1809" s="66"/>
      <c r="D1809" s="66"/>
      <c r="F1809" s="66"/>
      <c r="G1809" s="66"/>
    </row>
    <row r="1810">
      <c r="A1810" s="82"/>
      <c r="B1810" s="66"/>
      <c r="C1810" s="66"/>
      <c r="D1810" s="66"/>
      <c r="F1810" s="66"/>
      <c r="G1810" s="66"/>
    </row>
    <row r="1811">
      <c r="A1811" s="82"/>
      <c r="B1811" s="66"/>
      <c r="C1811" s="66"/>
      <c r="D1811" s="66"/>
      <c r="F1811" s="66"/>
      <c r="G1811" s="66"/>
    </row>
    <row r="1812">
      <c r="A1812" s="82"/>
      <c r="B1812" s="66"/>
      <c r="C1812" s="66"/>
      <c r="D1812" s="66"/>
      <c r="F1812" s="66"/>
      <c r="G1812" s="66"/>
    </row>
    <row r="1813">
      <c r="A1813" s="82"/>
      <c r="B1813" s="66"/>
      <c r="C1813" s="66"/>
      <c r="D1813" s="66"/>
      <c r="F1813" s="66"/>
      <c r="G1813" s="66"/>
    </row>
    <row r="1814">
      <c r="A1814" s="82"/>
      <c r="B1814" s="66"/>
      <c r="C1814" s="66"/>
      <c r="D1814" s="66"/>
      <c r="F1814" s="66"/>
      <c r="G1814" s="66"/>
    </row>
    <row r="1815">
      <c r="A1815" s="82"/>
      <c r="B1815" s="66"/>
      <c r="C1815" s="66"/>
      <c r="D1815" s="66"/>
      <c r="F1815" s="66"/>
      <c r="G1815" s="66"/>
    </row>
    <row r="1816">
      <c r="A1816" s="82"/>
      <c r="B1816" s="66"/>
      <c r="C1816" s="66"/>
      <c r="D1816" s="66"/>
      <c r="F1816" s="66"/>
      <c r="G1816" s="66"/>
    </row>
    <row r="1817">
      <c r="A1817" s="82"/>
      <c r="B1817" s="66"/>
      <c r="C1817" s="66"/>
      <c r="D1817" s="66"/>
      <c r="F1817" s="66"/>
      <c r="G1817" s="66"/>
    </row>
    <row r="1818">
      <c r="A1818" s="82"/>
      <c r="B1818" s="66"/>
      <c r="C1818" s="66"/>
      <c r="D1818" s="66"/>
      <c r="F1818" s="66"/>
      <c r="G1818" s="66"/>
    </row>
    <row r="1819">
      <c r="A1819" s="82"/>
      <c r="B1819" s="66"/>
      <c r="C1819" s="66"/>
      <c r="D1819" s="66"/>
      <c r="F1819" s="66"/>
      <c r="G1819" s="66"/>
    </row>
    <row r="1820">
      <c r="A1820" s="82"/>
      <c r="B1820" s="66"/>
      <c r="C1820" s="66"/>
      <c r="D1820" s="66"/>
      <c r="F1820" s="66"/>
      <c r="G1820" s="66"/>
    </row>
    <row r="1821">
      <c r="A1821" s="82"/>
      <c r="B1821" s="66"/>
      <c r="C1821" s="66"/>
      <c r="D1821" s="66"/>
      <c r="F1821" s="66"/>
      <c r="G1821" s="66"/>
    </row>
    <row r="1822">
      <c r="A1822" s="82"/>
      <c r="B1822" s="66"/>
      <c r="C1822" s="66"/>
      <c r="D1822" s="66"/>
      <c r="F1822" s="66"/>
      <c r="G1822" s="66"/>
    </row>
    <row r="1823">
      <c r="A1823" s="82"/>
      <c r="B1823" s="66"/>
      <c r="C1823" s="66"/>
      <c r="D1823" s="66"/>
      <c r="F1823" s="66"/>
      <c r="G1823" s="66"/>
    </row>
    <row r="1824">
      <c r="A1824" s="82"/>
      <c r="B1824" s="66"/>
      <c r="C1824" s="66"/>
      <c r="D1824" s="66"/>
      <c r="F1824" s="66"/>
      <c r="G1824" s="66"/>
    </row>
    <row r="1825">
      <c r="A1825" s="82"/>
      <c r="B1825" s="66"/>
      <c r="C1825" s="66"/>
      <c r="D1825" s="66"/>
      <c r="F1825" s="66"/>
      <c r="G1825" s="66"/>
    </row>
    <row r="1826">
      <c r="A1826" s="82"/>
      <c r="B1826" s="66"/>
      <c r="C1826" s="66"/>
      <c r="D1826" s="66"/>
      <c r="F1826" s="66"/>
      <c r="G1826" s="66"/>
    </row>
    <row r="1827">
      <c r="A1827" s="82"/>
      <c r="B1827" s="66"/>
      <c r="C1827" s="66"/>
      <c r="D1827" s="66"/>
      <c r="F1827" s="66"/>
      <c r="G1827" s="66"/>
    </row>
    <row r="1828">
      <c r="A1828" s="82"/>
      <c r="B1828" s="66"/>
      <c r="C1828" s="66"/>
      <c r="D1828" s="66"/>
      <c r="F1828" s="66"/>
      <c r="G1828" s="66"/>
    </row>
    <row r="1829">
      <c r="A1829" s="82"/>
      <c r="B1829" s="66"/>
      <c r="C1829" s="66"/>
      <c r="D1829" s="66"/>
      <c r="F1829" s="66"/>
      <c r="G1829" s="66"/>
    </row>
    <row r="1830">
      <c r="A1830" s="82"/>
      <c r="B1830" s="66"/>
      <c r="C1830" s="66"/>
      <c r="D1830" s="66"/>
      <c r="F1830" s="66"/>
      <c r="G1830" s="66"/>
    </row>
    <row r="1831">
      <c r="A1831" s="82"/>
      <c r="B1831" s="66"/>
      <c r="C1831" s="66"/>
      <c r="D1831" s="66"/>
      <c r="F1831" s="66"/>
      <c r="G1831" s="66"/>
    </row>
    <row r="1832">
      <c r="A1832" s="82"/>
      <c r="B1832" s="66"/>
      <c r="C1832" s="66"/>
      <c r="D1832" s="66"/>
      <c r="F1832" s="66"/>
      <c r="G1832" s="66"/>
    </row>
    <row r="1833">
      <c r="A1833" s="82"/>
      <c r="B1833" s="66"/>
      <c r="C1833" s="66"/>
      <c r="D1833" s="66"/>
      <c r="F1833" s="66"/>
      <c r="G1833" s="66"/>
    </row>
    <row r="1834">
      <c r="A1834" s="82"/>
      <c r="B1834" s="66"/>
      <c r="C1834" s="66"/>
      <c r="D1834" s="66"/>
      <c r="F1834" s="66"/>
      <c r="G1834" s="66"/>
    </row>
    <row r="1835">
      <c r="A1835" s="82"/>
      <c r="B1835" s="66"/>
      <c r="C1835" s="66"/>
      <c r="D1835" s="66"/>
      <c r="F1835" s="66"/>
      <c r="G1835" s="66"/>
    </row>
    <row r="1836">
      <c r="A1836" s="82"/>
      <c r="B1836" s="66"/>
      <c r="C1836" s="66"/>
      <c r="D1836" s="66"/>
      <c r="F1836" s="66"/>
      <c r="G1836" s="66"/>
    </row>
    <row r="1837">
      <c r="A1837" s="82"/>
      <c r="B1837" s="66"/>
      <c r="C1837" s="66"/>
      <c r="D1837" s="66"/>
      <c r="F1837" s="66"/>
      <c r="G1837" s="66"/>
    </row>
    <row r="1838">
      <c r="A1838" s="82"/>
      <c r="B1838" s="66"/>
      <c r="C1838" s="66"/>
      <c r="D1838" s="66"/>
      <c r="F1838" s="66"/>
      <c r="G1838" s="66"/>
    </row>
    <row r="1839">
      <c r="A1839" s="82"/>
      <c r="B1839" s="66"/>
      <c r="C1839" s="66"/>
      <c r="D1839" s="66"/>
      <c r="F1839" s="66"/>
      <c r="G1839" s="66"/>
    </row>
    <row r="1840">
      <c r="A1840" s="82"/>
      <c r="B1840" s="66"/>
      <c r="C1840" s="66"/>
      <c r="D1840" s="66"/>
      <c r="F1840" s="66"/>
      <c r="G1840" s="66"/>
    </row>
    <row r="1841">
      <c r="A1841" s="82"/>
      <c r="B1841" s="66"/>
      <c r="C1841" s="66"/>
      <c r="D1841" s="66"/>
      <c r="F1841" s="66"/>
      <c r="G1841" s="66"/>
    </row>
    <row r="1842">
      <c r="A1842" s="82"/>
      <c r="B1842" s="66"/>
      <c r="C1842" s="66"/>
      <c r="D1842" s="66"/>
      <c r="F1842" s="66"/>
      <c r="G1842" s="66"/>
    </row>
    <row r="1843">
      <c r="A1843" s="82"/>
      <c r="B1843" s="66"/>
      <c r="C1843" s="66"/>
      <c r="D1843" s="66"/>
      <c r="F1843" s="66"/>
      <c r="G1843" s="66"/>
    </row>
    <row r="1844">
      <c r="A1844" s="82"/>
      <c r="B1844" s="66"/>
      <c r="C1844" s="66"/>
      <c r="D1844" s="66"/>
      <c r="F1844" s="66"/>
      <c r="G1844" s="66"/>
    </row>
    <row r="1845">
      <c r="A1845" s="82"/>
      <c r="B1845" s="66"/>
      <c r="C1845" s="66"/>
      <c r="D1845" s="66"/>
      <c r="F1845" s="66"/>
      <c r="G1845" s="66"/>
    </row>
    <row r="1846">
      <c r="A1846" s="82"/>
      <c r="B1846" s="66"/>
      <c r="C1846" s="66"/>
      <c r="D1846" s="66"/>
      <c r="F1846" s="66"/>
      <c r="G1846" s="66"/>
    </row>
    <row r="1847">
      <c r="A1847" s="82"/>
      <c r="B1847" s="66"/>
      <c r="C1847" s="66"/>
      <c r="D1847" s="66"/>
      <c r="F1847" s="66"/>
      <c r="G1847" s="66"/>
    </row>
    <row r="1848">
      <c r="A1848" s="82"/>
      <c r="B1848" s="66"/>
      <c r="C1848" s="66"/>
      <c r="D1848" s="66"/>
      <c r="F1848" s="66"/>
      <c r="G1848" s="66"/>
    </row>
    <row r="1849">
      <c r="A1849" s="82"/>
      <c r="B1849" s="66"/>
      <c r="C1849" s="66"/>
      <c r="D1849" s="66"/>
      <c r="F1849" s="66"/>
      <c r="G1849" s="66"/>
    </row>
    <row r="1850">
      <c r="A1850" s="82"/>
      <c r="B1850" s="66"/>
      <c r="C1850" s="66"/>
      <c r="D1850" s="66"/>
      <c r="F1850" s="66"/>
      <c r="G1850" s="66"/>
    </row>
    <row r="1851">
      <c r="A1851" s="82"/>
      <c r="B1851" s="66"/>
      <c r="C1851" s="66"/>
      <c r="D1851" s="66"/>
      <c r="F1851" s="66"/>
      <c r="G1851" s="66"/>
    </row>
    <row r="1852">
      <c r="A1852" s="82"/>
      <c r="B1852" s="66"/>
      <c r="C1852" s="66"/>
      <c r="D1852" s="66"/>
      <c r="F1852" s="66"/>
      <c r="G1852" s="66"/>
    </row>
    <row r="1853">
      <c r="A1853" s="82"/>
      <c r="B1853" s="66"/>
      <c r="C1853" s="66"/>
      <c r="D1853" s="66"/>
      <c r="F1853" s="66"/>
      <c r="G1853" s="66"/>
    </row>
    <row r="1854">
      <c r="A1854" s="82"/>
      <c r="B1854" s="66"/>
      <c r="C1854" s="66"/>
      <c r="D1854" s="66"/>
      <c r="F1854" s="66"/>
      <c r="G1854" s="66"/>
    </row>
    <row r="1855">
      <c r="A1855" s="82"/>
      <c r="B1855" s="66"/>
      <c r="C1855" s="66"/>
      <c r="D1855" s="66"/>
      <c r="F1855" s="66"/>
      <c r="G1855" s="66"/>
    </row>
    <row r="1856">
      <c r="A1856" s="82"/>
      <c r="B1856" s="66"/>
      <c r="C1856" s="66"/>
      <c r="D1856" s="66"/>
      <c r="F1856" s="66"/>
      <c r="G1856" s="66"/>
    </row>
    <row r="1857">
      <c r="A1857" s="82"/>
      <c r="B1857" s="66"/>
      <c r="C1857" s="66"/>
      <c r="D1857" s="66"/>
      <c r="F1857" s="66"/>
      <c r="G1857" s="66"/>
    </row>
    <row r="1858">
      <c r="A1858" s="82"/>
      <c r="B1858" s="66"/>
      <c r="C1858" s="66"/>
      <c r="D1858" s="66"/>
      <c r="F1858" s="66"/>
      <c r="G1858" s="66"/>
    </row>
    <row r="1859">
      <c r="A1859" s="82"/>
      <c r="B1859" s="66"/>
      <c r="C1859" s="66"/>
      <c r="D1859" s="66"/>
      <c r="F1859" s="66"/>
      <c r="G1859" s="66"/>
    </row>
    <row r="1860">
      <c r="A1860" s="82"/>
      <c r="B1860" s="66"/>
      <c r="C1860" s="66"/>
      <c r="D1860" s="66"/>
      <c r="F1860" s="66"/>
      <c r="G1860" s="66"/>
    </row>
    <row r="1861">
      <c r="A1861" s="82"/>
      <c r="B1861" s="66"/>
      <c r="C1861" s="66"/>
      <c r="D1861" s="66"/>
      <c r="F1861" s="66"/>
      <c r="G1861" s="66"/>
    </row>
    <row r="1862">
      <c r="A1862" s="82"/>
      <c r="B1862" s="66"/>
      <c r="C1862" s="66"/>
      <c r="D1862" s="66"/>
      <c r="F1862" s="66"/>
      <c r="G1862" s="66"/>
    </row>
    <row r="1863">
      <c r="A1863" s="82"/>
      <c r="B1863" s="66"/>
      <c r="C1863" s="66"/>
      <c r="D1863" s="66"/>
      <c r="F1863" s="66"/>
      <c r="G1863" s="66"/>
    </row>
    <row r="1864">
      <c r="A1864" s="82"/>
      <c r="B1864" s="66"/>
      <c r="C1864" s="66"/>
      <c r="D1864" s="66"/>
      <c r="F1864" s="66"/>
      <c r="G1864" s="66"/>
    </row>
    <row r="1865">
      <c r="A1865" s="82"/>
      <c r="B1865" s="66"/>
      <c r="C1865" s="66"/>
      <c r="D1865" s="66"/>
      <c r="F1865" s="66"/>
      <c r="G1865" s="66"/>
    </row>
    <row r="1866">
      <c r="A1866" s="82"/>
      <c r="B1866" s="66"/>
      <c r="C1866" s="66"/>
      <c r="D1866" s="66"/>
      <c r="F1866" s="66"/>
      <c r="G1866" s="66"/>
    </row>
    <row r="1867">
      <c r="A1867" s="82"/>
      <c r="B1867" s="66"/>
      <c r="C1867" s="66"/>
      <c r="D1867" s="66"/>
      <c r="F1867" s="66"/>
      <c r="G1867" s="66"/>
    </row>
    <row r="1868">
      <c r="A1868" s="82"/>
      <c r="B1868" s="66"/>
      <c r="C1868" s="66"/>
      <c r="D1868" s="66"/>
      <c r="F1868" s="66"/>
      <c r="G1868" s="66"/>
    </row>
    <row r="1869">
      <c r="A1869" s="82"/>
      <c r="B1869" s="66"/>
      <c r="C1869" s="66"/>
      <c r="D1869" s="66"/>
      <c r="F1869" s="66"/>
      <c r="G1869" s="66"/>
    </row>
    <row r="1870">
      <c r="A1870" s="82"/>
      <c r="B1870" s="66"/>
      <c r="C1870" s="66"/>
      <c r="D1870" s="66"/>
      <c r="F1870" s="66"/>
      <c r="G1870" s="66"/>
    </row>
    <row r="1871">
      <c r="A1871" s="82"/>
      <c r="B1871" s="66"/>
      <c r="C1871" s="66"/>
      <c r="D1871" s="66"/>
      <c r="F1871" s="66"/>
      <c r="G1871" s="66"/>
    </row>
    <row r="1872">
      <c r="A1872" s="82"/>
      <c r="B1872" s="66"/>
      <c r="C1872" s="66"/>
      <c r="D1872" s="66"/>
      <c r="F1872" s="66"/>
      <c r="G1872" s="66"/>
    </row>
    <row r="1873">
      <c r="A1873" s="82"/>
      <c r="B1873" s="66"/>
      <c r="C1873" s="66"/>
      <c r="D1873" s="66"/>
      <c r="F1873" s="66"/>
      <c r="G1873" s="66"/>
    </row>
    <row r="1874">
      <c r="A1874" s="82"/>
      <c r="B1874" s="66"/>
      <c r="C1874" s="66"/>
      <c r="D1874" s="66"/>
      <c r="F1874" s="66"/>
      <c r="G1874" s="66"/>
    </row>
    <row r="1875">
      <c r="A1875" s="82"/>
      <c r="B1875" s="66"/>
      <c r="C1875" s="66"/>
      <c r="D1875" s="66"/>
      <c r="F1875" s="66"/>
      <c r="G1875" s="66"/>
    </row>
    <row r="1876">
      <c r="A1876" s="82"/>
      <c r="B1876" s="66"/>
      <c r="C1876" s="66"/>
      <c r="D1876" s="66"/>
      <c r="F1876" s="66"/>
      <c r="G1876" s="66"/>
    </row>
    <row r="1877">
      <c r="A1877" s="82"/>
      <c r="B1877" s="66"/>
      <c r="C1877" s="66"/>
      <c r="D1877" s="66"/>
      <c r="F1877" s="66"/>
      <c r="G1877" s="66"/>
    </row>
    <row r="1878">
      <c r="A1878" s="82"/>
      <c r="B1878" s="66"/>
      <c r="C1878" s="66"/>
      <c r="D1878" s="66"/>
      <c r="F1878" s="66"/>
      <c r="G1878" s="66"/>
    </row>
    <row r="1879">
      <c r="A1879" s="82"/>
      <c r="B1879" s="66"/>
      <c r="C1879" s="66"/>
      <c r="D1879" s="66"/>
      <c r="F1879" s="66"/>
      <c r="G1879" s="66"/>
    </row>
    <row r="1880">
      <c r="A1880" s="82"/>
      <c r="B1880" s="66"/>
      <c r="C1880" s="66"/>
      <c r="D1880" s="66"/>
      <c r="F1880" s="66"/>
      <c r="G1880" s="66"/>
    </row>
    <row r="1881">
      <c r="A1881" s="82"/>
      <c r="B1881" s="66"/>
      <c r="C1881" s="66"/>
      <c r="D1881" s="66"/>
      <c r="F1881" s="66"/>
      <c r="G1881" s="66"/>
    </row>
    <row r="1882">
      <c r="A1882" s="82"/>
      <c r="B1882" s="66"/>
      <c r="C1882" s="66"/>
      <c r="D1882" s="66"/>
      <c r="F1882" s="66"/>
      <c r="G1882" s="66"/>
    </row>
    <row r="1883">
      <c r="A1883" s="82"/>
      <c r="B1883" s="66"/>
      <c r="C1883" s="66"/>
      <c r="D1883" s="66"/>
      <c r="F1883" s="66"/>
      <c r="G1883" s="66"/>
    </row>
    <row r="1884">
      <c r="A1884" s="82"/>
      <c r="B1884" s="66"/>
      <c r="C1884" s="66"/>
      <c r="D1884" s="66"/>
      <c r="F1884" s="66"/>
      <c r="G1884" s="66"/>
    </row>
    <row r="1885">
      <c r="A1885" s="82"/>
      <c r="B1885" s="66"/>
      <c r="C1885" s="66"/>
      <c r="D1885" s="66"/>
      <c r="F1885" s="66"/>
      <c r="G1885" s="66"/>
    </row>
    <row r="1886">
      <c r="A1886" s="82"/>
      <c r="B1886" s="66"/>
      <c r="C1886" s="66"/>
      <c r="D1886" s="66"/>
      <c r="F1886" s="66"/>
      <c r="G1886" s="66"/>
    </row>
    <row r="1887">
      <c r="A1887" s="82"/>
      <c r="B1887" s="66"/>
      <c r="C1887" s="66"/>
      <c r="D1887" s="66"/>
      <c r="F1887" s="66"/>
      <c r="G1887" s="66"/>
    </row>
    <row r="1888">
      <c r="A1888" s="82"/>
      <c r="B1888" s="66"/>
      <c r="C1888" s="66"/>
      <c r="D1888" s="66"/>
      <c r="F1888" s="66"/>
      <c r="G1888" s="66"/>
    </row>
    <row r="1889">
      <c r="A1889" s="82"/>
      <c r="B1889" s="66"/>
      <c r="C1889" s="66"/>
      <c r="D1889" s="66"/>
      <c r="F1889" s="66"/>
      <c r="G1889" s="66"/>
    </row>
    <row r="1890">
      <c r="A1890" s="82"/>
      <c r="B1890" s="66"/>
      <c r="C1890" s="66"/>
      <c r="D1890" s="66"/>
      <c r="F1890" s="66"/>
      <c r="G1890" s="66"/>
    </row>
    <row r="1891">
      <c r="A1891" s="82"/>
      <c r="B1891" s="66"/>
      <c r="C1891" s="66"/>
      <c r="D1891" s="66"/>
      <c r="F1891" s="66"/>
      <c r="G1891" s="66"/>
    </row>
    <row r="1892">
      <c r="A1892" s="82"/>
      <c r="B1892" s="66"/>
      <c r="C1892" s="66"/>
      <c r="D1892" s="66"/>
      <c r="F1892" s="66"/>
      <c r="G1892" s="66"/>
    </row>
    <row r="1893">
      <c r="A1893" s="82"/>
      <c r="B1893" s="66"/>
      <c r="C1893" s="66"/>
      <c r="D1893" s="66"/>
      <c r="F1893" s="66"/>
      <c r="G1893" s="66"/>
    </row>
    <row r="1894">
      <c r="A1894" s="82"/>
      <c r="B1894" s="66"/>
      <c r="C1894" s="66"/>
      <c r="D1894" s="66"/>
      <c r="F1894" s="66"/>
      <c r="G1894" s="66"/>
    </row>
    <row r="1895">
      <c r="A1895" s="82"/>
      <c r="B1895" s="66"/>
      <c r="C1895" s="66"/>
      <c r="D1895" s="66"/>
      <c r="F1895" s="66"/>
      <c r="G1895" s="66"/>
    </row>
    <row r="1896">
      <c r="A1896" s="82"/>
      <c r="B1896" s="66"/>
      <c r="C1896" s="66"/>
      <c r="D1896" s="66"/>
      <c r="F1896" s="66"/>
      <c r="G1896" s="66"/>
    </row>
    <row r="1897">
      <c r="A1897" s="82"/>
      <c r="B1897" s="66"/>
      <c r="C1897" s="66"/>
      <c r="D1897" s="66"/>
      <c r="F1897" s="66"/>
      <c r="G1897" s="66"/>
    </row>
    <row r="1898">
      <c r="A1898" s="82"/>
      <c r="B1898" s="66"/>
      <c r="C1898" s="66"/>
      <c r="D1898" s="66"/>
      <c r="F1898" s="66"/>
      <c r="G1898" s="66"/>
    </row>
    <row r="1899">
      <c r="A1899" s="82"/>
      <c r="B1899" s="66"/>
      <c r="C1899" s="66"/>
      <c r="D1899" s="66"/>
      <c r="F1899" s="66"/>
      <c r="G1899" s="66"/>
    </row>
    <row r="1900">
      <c r="A1900" s="82"/>
      <c r="B1900" s="66"/>
      <c r="C1900" s="66"/>
      <c r="D1900" s="66"/>
      <c r="F1900" s="66"/>
      <c r="G1900" s="66"/>
    </row>
    <row r="1901">
      <c r="A1901" s="82"/>
      <c r="B1901" s="66"/>
      <c r="C1901" s="66"/>
      <c r="D1901" s="66"/>
      <c r="F1901" s="66"/>
      <c r="G1901" s="66"/>
    </row>
    <row r="1902">
      <c r="A1902" s="82"/>
      <c r="B1902" s="66"/>
      <c r="C1902" s="66"/>
      <c r="D1902" s="66"/>
      <c r="F1902" s="66"/>
      <c r="G1902" s="66"/>
    </row>
    <row r="1903">
      <c r="A1903" s="82"/>
      <c r="B1903" s="66"/>
      <c r="C1903" s="66"/>
      <c r="D1903" s="66"/>
      <c r="F1903" s="66"/>
      <c r="G1903" s="66"/>
    </row>
    <row r="1904">
      <c r="A1904" s="82"/>
      <c r="B1904" s="66"/>
      <c r="C1904" s="66"/>
      <c r="D1904" s="66"/>
      <c r="F1904" s="66"/>
      <c r="G1904" s="66"/>
    </row>
    <row r="1905">
      <c r="A1905" s="82"/>
      <c r="B1905" s="66"/>
      <c r="C1905" s="66"/>
      <c r="D1905" s="66"/>
      <c r="F1905" s="66"/>
      <c r="G1905" s="66"/>
    </row>
    <row r="1906">
      <c r="A1906" s="82"/>
      <c r="B1906" s="66"/>
      <c r="C1906" s="66"/>
      <c r="D1906" s="66"/>
      <c r="F1906" s="66"/>
      <c r="G1906" s="66"/>
    </row>
    <row r="1907">
      <c r="A1907" s="82"/>
      <c r="B1907" s="66"/>
      <c r="C1907" s="66"/>
      <c r="D1907" s="66"/>
      <c r="F1907" s="66"/>
      <c r="G1907" s="66"/>
    </row>
    <row r="1908">
      <c r="A1908" s="82"/>
      <c r="B1908" s="66"/>
      <c r="C1908" s="66"/>
      <c r="D1908" s="66"/>
      <c r="F1908" s="66"/>
      <c r="G1908" s="66"/>
    </row>
    <row r="1909">
      <c r="A1909" s="82"/>
      <c r="B1909" s="66"/>
      <c r="C1909" s="66"/>
      <c r="D1909" s="66"/>
      <c r="F1909" s="66"/>
      <c r="G1909" s="66"/>
    </row>
    <row r="1910">
      <c r="A1910" s="82"/>
      <c r="B1910" s="66"/>
      <c r="C1910" s="66"/>
      <c r="D1910" s="66"/>
      <c r="F1910" s="66"/>
      <c r="G1910" s="66"/>
    </row>
    <row r="1911">
      <c r="A1911" s="82"/>
      <c r="B1911" s="66"/>
      <c r="C1911" s="66"/>
      <c r="D1911" s="66"/>
      <c r="F1911" s="66"/>
      <c r="G1911" s="66"/>
    </row>
    <row r="1912">
      <c r="A1912" s="82"/>
      <c r="B1912" s="66"/>
      <c r="C1912" s="66"/>
      <c r="D1912" s="66"/>
      <c r="F1912" s="66"/>
      <c r="G1912" s="66"/>
    </row>
    <row r="1913">
      <c r="A1913" s="82"/>
      <c r="B1913" s="66"/>
      <c r="C1913" s="66"/>
      <c r="D1913" s="66"/>
      <c r="F1913" s="66"/>
      <c r="G1913" s="66"/>
    </row>
    <row r="1914">
      <c r="A1914" s="82"/>
      <c r="B1914" s="66"/>
      <c r="C1914" s="66"/>
      <c r="D1914" s="66"/>
      <c r="F1914" s="66"/>
      <c r="G1914" s="66"/>
    </row>
    <row r="1915">
      <c r="A1915" s="82"/>
      <c r="B1915" s="66"/>
      <c r="C1915" s="66"/>
      <c r="D1915" s="66"/>
      <c r="F1915" s="66"/>
      <c r="G1915" s="66"/>
    </row>
    <row r="1916">
      <c r="A1916" s="82"/>
      <c r="B1916" s="66"/>
      <c r="C1916" s="66"/>
      <c r="D1916" s="66"/>
      <c r="F1916" s="66"/>
      <c r="G1916" s="66"/>
    </row>
    <row r="1917">
      <c r="A1917" s="82"/>
      <c r="B1917" s="66"/>
      <c r="C1917" s="66"/>
      <c r="D1917" s="66"/>
      <c r="F1917" s="66"/>
      <c r="G1917" s="66"/>
    </row>
    <row r="1918">
      <c r="A1918" s="82"/>
      <c r="B1918" s="66"/>
      <c r="C1918" s="66"/>
      <c r="D1918" s="66"/>
      <c r="F1918" s="66"/>
      <c r="G1918" s="66"/>
    </row>
    <row r="1919">
      <c r="A1919" s="82"/>
      <c r="B1919" s="66"/>
      <c r="C1919" s="66"/>
      <c r="D1919" s="66"/>
      <c r="F1919" s="66"/>
      <c r="G1919" s="66"/>
    </row>
    <row r="1920">
      <c r="A1920" s="82"/>
      <c r="B1920" s="66"/>
      <c r="C1920" s="66"/>
      <c r="D1920" s="66"/>
      <c r="F1920" s="66"/>
      <c r="G1920" s="66"/>
    </row>
    <row r="1921">
      <c r="A1921" s="82"/>
      <c r="B1921" s="66"/>
      <c r="C1921" s="66"/>
      <c r="D1921" s="66"/>
      <c r="F1921" s="66"/>
      <c r="G1921" s="66"/>
    </row>
    <row r="1922">
      <c r="A1922" s="82"/>
      <c r="B1922" s="66"/>
      <c r="C1922" s="66"/>
      <c r="D1922" s="66"/>
      <c r="F1922" s="66"/>
      <c r="G1922" s="66"/>
    </row>
    <row r="1923">
      <c r="A1923" s="82"/>
      <c r="B1923" s="66"/>
      <c r="C1923" s="66"/>
      <c r="D1923" s="66"/>
      <c r="F1923" s="66"/>
      <c r="G1923" s="66"/>
    </row>
    <row r="1924">
      <c r="A1924" s="82"/>
      <c r="B1924" s="66"/>
      <c r="C1924" s="66"/>
      <c r="D1924" s="66"/>
      <c r="F1924" s="66"/>
      <c r="G1924" s="66"/>
    </row>
    <row r="1925">
      <c r="A1925" s="82"/>
      <c r="B1925" s="66"/>
      <c r="C1925" s="66"/>
      <c r="D1925" s="66"/>
      <c r="F1925" s="66"/>
      <c r="G1925" s="66"/>
    </row>
    <row r="1926">
      <c r="A1926" s="82"/>
      <c r="B1926" s="66"/>
      <c r="C1926" s="66"/>
      <c r="D1926" s="66"/>
      <c r="F1926" s="66"/>
      <c r="G1926" s="66"/>
    </row>
    <row r="1927">
      <c r="A1927" s="82"/>
      <c r="B1927" s="66"/>
      <c r="C1927" s="66"/>
      <c r="D1927" s="66"/>
      <c r="F1927" s="66"/>
      <c r="G1927" s="66"/>
    </row>
    <row r="1928">
      <c r="A1928" s="82"/>
      <c r="B1928" s="66"/>
      <c r="C1928" s="66"/>
      <c r="D1928" s="66"/>
      <c r="F1928" s="66"/>
      <c r="G1928" s="66"/>
    </row>
    <row r="1929">
      <c r="A1929" s="82"/>
      <c r="B1929" s="66"/>
      <c r="C1929" s="66"/>
      <c r="D1929" s="66"/>
      <c r="F1929" s="66"/>
      <c r="G1929" s="66"/>
    </row>
    <row r="1930">
      <c r="A1930" s="82"/>
      <c r="B1930" s="66"/>
      <c r="C1930" s="66"/>
      <c r="D1930" s="66"/>
      <c r="F1930" s="66"/>
      <c r="G1930" s="66"/>
    </row>
    <row r="1931">
      <c r="A1931" s="82"/>
      <c r="B1931" s="66"/>
      <c r="C1931" s="66"/>
      <c r="D1931" s="66"/>
      <c r="F1931" s="66"/>
      <c r="G1931" s="66"/>
    </row>
    <row r="1932">
      <c r="A1932" s="82"/>
      <c r="B1932" s="66"/>
      <c r="C1932" s="66"/>
      <c r="D1932" s="66"/>
      <c r="F1932" s="66"/>
      <c r="G1932" s="66"/>
    </row>
    <row r="1933">
      <c r="A1933" s="82"/>
      <c r="B1933" s="66"/>
      <c r="C1933" s="66"/>
      <c r="D1933" s="66"/>
      <c r="F1933" s="66"/>
      <c r="G1933" s="66"/>
    </row>
    <row r="1934">
      <c r="A1934" s="82"/>
      <c r="B1934" s="66"/>
      <c r="C1934" s="66"/>
      <c r="D1934" s="66"/>
      <c r="F1934" s="66"/>
      <c r="G1934" s="66"/>
    </row>
    <row r="1935">
      <c r="A1935" s="82"/>
      <c r="B1935" s="66"/>
      <c r="C1935" s="66"/>
      <c r="D1935" s="66"/>
      <c r="F1935" s="66"/>
      <c r="G1935" s="66"/>
    </row>
    <row r="1936">
      <c r="A1936" s="82"/>
      <c r="B1936" s="66"/>
      <c r="C1936" s="66"/>
      <c r="D1936" s="66"/>
      <c r="F1936" s="66"/>
      <c r="G1936" s="66"/>
    </row>
    <row r="1937">
      <c r="A1937" s="82"/>
      <c r="B1937" s="66"/>
      <c r="C1937" s="66"/>
      <c r="D1937" s="66"/>
      <c r="F1937" s="66"/>
      <c r="G1937" s="66"/>
    </row>
    <row r="1938">
      <c r="A1938" s="82"/>
      <c r="B1938" s="66"/>
      <c r="C1938" s="66"/>
      <c r="D1938" s="66"/>
      <c r="F1938" s="66"/>
      <c r="G1938" s="66"/>
    </row>
    <row r="1939">
      <c r="A1939" s="82"/>
      <c r="B1939" s="66"/>
      <c r="C1939" s="66"/>
      <c r="D1939" s="66"/>
      <c r="F1939" s="66"/>
      <c r="G1939" s="66"/>
    </row>
    <row r="1940">
      <c r="A1940" s="82"/>
      <c r="B1940" s="66"/>
      <c r="C1940" s="66"/>
      <c r="D1940" s="66"/>
      <c r="F1940" s="66"/>
      <c r="G1940" s="66"/>
    </row>
    <row r="1941">
      <c r="A1941" s="82"/>
      <c r="B1941" s="66"/>
      <c r="C1941" s="66"/>
      <c r="D1941" s="66"/>
      <c r="F1941" s="66"/>
      <c r="G1941" s="66"/>
    </row>
    <row r="1942">
      <c r="A1942" s="82"/>
      <c r="B1942" s="66"/>
      <c r="C1942" s="66"/>
      <c r="D1942" s="66"/>
      <c r="F1942" s="66"/>
      <c r="G1942" s="66"/>
    </row>
    <row r="1943">
      <c r="A1943" s="82"/>
      <c r="B1943" s="66"/>
      <c r="C1943" s="66"/>
      <c r="D1943" s="66"/>
      <c r="F1943" s="66"/>
      <c r="G1943" s="66"/>
    </row>
    <row r="1944">
      <c r="A1944" s="82"/>
      <c r="B1944" s="66"/>
      <c r="C1944" s="66"/>
      <c r="D1944" s="66"/>
      <c r="F1944" s="66"/>
      <c r="G1944" s="66"/>
    </row>
    <row r="1945">
      <c r="A1945" s="82"/>
      <c r="B1945" s="66"/>
      <c r="C1945" s="66"/>
      <c r="D1945" s="66"/>
      <c r="F1945" s="66"/>
      <c r="G1945" s="66"/>
    </row>
    <row r="1946">
      <c r="A1946" s="82"/>
      <c r="B1946" s="66"/>
      <c r="C1946" s="66"/>
      <c r="D1946" s="66"/>
      <c r="F1946" s="66"/>
      <c r="G1946" s="66"/>
    </row>
    <row r="1947">
      <c r="A1947" s="82"/>
      <c r="B1947" s="66"/>
      <c r="C1947" s="66"/>
      <c r="D1947" s="66"/>
      <c r="F1947" s="66"/>
      <c r="G1947" s="66"/>
    </row>
    <row r="1948">
      <c r="A1948" s="82"/>
      <c r="B1948" s="66"/>
      <c r="C1948" s="66"/>
      <c r="D1948" s="66"/>
      <c r="F1948" s="66"/>
      <c r="G1948" s="66"/>
    </row>
    <row r="1949">
      <c r="A1949" s="82"/>
      <c r="B1949" s="66"/>
      <c r="C1949" s="66"/>
      <c r="D1949" s="66"/>
      <c r="F1949" s="66"/>
      <c r="G1949" s="66"/>
    </row>
    <row r="1950">
      <c r="A1950" s="82"/>
      <c r="B1950" s="66"/>
      <c r="C1950" s="66"/>
      <c r="D1950" s="66"/>
      <c r="F1950" s="66"/>
      <c r="G1950" s="66"/>
    </row>
    <row r="1951">
      <c r="A1951" s="82"/>
      <c r="B1951" s="66"/>
      <c r="C1951" s="66"/>
      <c r="D1951" s="66"/>
      <c r="F1951" s="66"/>
      <c r="G1951" s="66"/>
    </row>
    <row r="1952">
      <c r="A1952" s="82"/>
      <c r="B1952" s="66"/>
      <c r="C1952" s="66"/>
      <c r="D1952" s="66"/>
      <c r="F1952" s="66"/>
      <c r="G1952" s="66"/>
    </row>
    <row r="1953">
      <c r="A1953" s="82"/>
      <c r="B1953" s="66"/>
      <c r="C1953" s="66"/>
      <c r="D1953" s="66"/>
      <c r="F1953" s="66"/>
      <c r="G1953" s="66"/>
    </row>
    <row r="1954">
      <c r="A1954" s="82"/>
      <c r="B1954" s="66"/>
      <c r="C1954" s="66"/>
      <c r="D1954" s="66"/>
      <c r="F1954" s="66"/>
      <c r="G1954" s="66"/>
    </row>
    <row r="1955">
      <c r="A1955" s="82"/>
      <c r="B1955" s="66"/>
      <c r="C1955" s="66"/>
      <c r="D1955" s="66"/>
      <c r="F1955" s="66"/>
      <c r="G1955" s="66"/>
    </row>
    <row r="1956">
      <c r="A1956" s="82"/>
      <c r="B1956" s="66"/>
      <c r="C1956" s="66"/>
      <c r="D1956" s="66"/>
      <c r="F1956" s="66"/>
      <c r="G1956" s="66"/>
    </row>
    <row r="1957">
      <c r="A1957" s="82"/>
      <c r="B1957" s="66"/>
      <c r="C1957" s="66"/>
      <c r="D1957" s="66"/>
      <c r="F1957" s="66"/>
      <c r="G1957" s="66"/>
    </row>
    <row r="1958">
      <c r="A1958" s="82"/>
      <c r="B1958" s="66"/>
      <c r="C1958" s="66"/>
      <c r="D1958" s="66"/>
      <c r="F1958" s="66"/>
      <c r="G1958" s="66"/>
    </row>
    <row r="1959">
      <c r="A1959" s="82"/>
      <c r="B1959" s="66"/>
      <c r="C1959" s="66"/>
      <c r="D1959" s="66"/>
      <c r="F1959" s="66"/>
      <c r="G1959" s="66"/>
    </row>
    <row r="1960">
      <c r="A1960" s="82"/>
      <c r="B1960" s="66"/>
      <c r="C1960" s="66"/>
      <c r="D1960" s="66"/>
      <c r="F1960" s="66"/>
      <c r="G1960" s="66"/>
    </row>
    <row r="1961">
      <c r="A1961" s="82"/>
      <c r="B1961" s="66"/>
      <c r="C1961" s="66"/>
      <c r="D1961" s="66"/>
      <c r="F1961" s="66"/>
      <c r="G1961" s="66"/>
    </row>
    <row r="1962">
      <c r="A1962" s="82"/>
      <c r="B1962" s="66"/>
      <c r="C1962" s="66"/>
      <c r="D1962" s="66"/>
      <c r="F1962" s="66"/>
      <c r="G1962" s="66"/>
    </row>
    <row r="1963">
      <c r="A1963" s="82"/>
      <c r="B1963" s="66"/>
      <c r="C1963" s="66"/>
      <c r="D1963" s="66"/>
      <c r="F1963" s="66"/>
      <c r="G1963" s="66"/>
    </row>
    <row r="1964">
      <c r="A1964" s="82"/>
      <c r="B1964" s="66"/>
      <c r="C1964" s="66"/>
      <c r="D1964" s="66"/>
      <c r="F1964" s="66"/>
      <c r="G1964" s="66"/>
    </row>
    <row r="1965">
      <c r="A1965" s="82"/>
      <c r="B1965" s="66"/>
      <c r="C1965" s="66"/>
      <c r="D1965" s="66"/>
      <c r="F1965" s="66"/>
      <c r="G1965" s="66"/>
    </row>
    <row r="1966">
      <c r="A1966" s="82"/>
      <c r="B1966" s="66"/>
      <c r="C1966" s="66"/>
      <c r="D1966" s="66"/>
      <c r="F1966" s="66"/>
      <c r="G1966" s="66"/>
    </row>
    <row r="1967">
      <c r="A1967" s="82"/>
      <c r="B1967" s="66"/>
      <c r="C1967" s="66"/>
      <c r="D1967" s="66"/>
      <c r="F1967" s="66"/>
      <c r="G1967" s="66"/>
    </row>
    <row r="1968">
      <c r="A1968" s="82"/>
      <c r="B1968" s="66"/>
      <c r="C1968" s="66"/>
      <c r="D1968" s="66"/>
      <c r="F1968" s="66"/>
      <c r="G1968" s="66"/>
    </row>
    <row r="1969">
      <c r="A1969" s="82"/>
      <c r="B1969" s="66"/>
      <c r="C1969" s="66"/>
      <c r="D1969" s="66"/>
      <c r="F1969" s="66"/>
      <c r="G1969" s="66"/>
    </row>
    <row r="1970">
      <c r="A1970" s="82"/>
      <c r="B1970" s="66"/>
      <c r="C1970" s="66"/>
      <c r="D1970" s="66"/>
      <c r="F1970" s="66"/>
      <c r="G1970" s="66"/>
    </row>
    <row r="1971">
      <c r="A1971" s="82"/>
      <c r="B1971" s="66"/>
      <c r="C1971" s="66"/>
      <c r="D1971" s="66"/>
      <c r="F1971" s="66"/>
      <c r="G1971" s="66"/>
    </row>
    <row r="1972">
      <c r="A1972" s="82"/>
      <c r="B1972" s="66"/>
      <c r="C1972" s="66"/>
      <c r="D1972" s="66"/>
      <c r="F1972" s="66"/>
      <c r="G1972" s="66"/>
    </row>
    <row r="1973">
      <c r="A1973" s="82"/>
      <c r="B1973" s="66"/>
      <c r="C1973" s="66"/>
      <c r="D1973" s="66"/>
      <c r="F1973" s="66"/>
      <c r="G1973" s="66"/>
    </row>
    <row r="1974">
      <c r="A1974" s="82"/>
      <c r="B1974" s="66"/>
      <c r="C1974" s="66"/>
      <c r="D1974" s="66"/>
      <c r="F1974" s="66"/>
      <c r="G1974" s="66"/>
    </row>
    <row r="1975">
      <c r="A1975" s="82"/>
      <c r="B1975" s="66"/>
      <c r="C1975" s="66"/>
      <c r="D1975" s="66"/>
      <c r="F1975" s="66"/>
      <c r="G1975" s="66"/>
    </row>
    <row r="1976">
      <c r="A1976" s="82"/>
      <c r="B1976" s="66"/>
      <c r="C1976" s="66"/>
      <c r="D1976" s="66"/>
      <c r="F1976" s="66"/>
      <c r="G1976" s="66"/>
    </row>
    <row r="1977">
      <c r="A1977" s="82"/>
      <c r="B1977" s="66"/>
      <c r="C1977" s="66"/>
      <c r="D1977" s="66"/>
      <c r="F1977" s="66"/>
      <c r="G1977" s="66"/>
    </row>
    <row r="1978">
      <c r="A1978" s="82"/>
      <c r="B1978" s="66"/>
      <c r="C1978" s="66"/>
      <c r="D1978" s="66"/>
      <c r="F1978" s="66"/>
      <c r="G1978" s="66"/>
    </row>
    <row r="1979">
      <c r="A1979" s="82"/>
      <c r="B1979" s="66"/>
      <c r="C1979" s="66"/>
      <c r="D1979" s="66"/>
      <c r="F1979" s="66"/>
      <c r="G1979" s="66"/>
    </row>
    <row r="1980">
      <c r="A1980" s="82"/>
      <c r="B1980" s="66"/>
      <c r="C1980" s="66"/>
      <c r="D1980" s="66"/>
      <c r="F1980" s="66"/>
      <c r="G1980" s="66"/>
    </row>
    <row r="1981">
      <c r="A1981" s="82"/>
      <c r="B1981" s="66"/>
      <c r="C1981" s="66"/>
      <c r="D1981" s="66"/>
      <c r="F1981" s="66"/>
      <c r="G1981" s="66"/>
    </row>
    <row r="1982">
      <c r="A1982" s="82"/>
      <c r="B1982" s="66"/>
      <c r="C1982" s="66"/>
      <c r="D1982" s="66"/>
      <c r="F1982" s="66"/>
      <c r="G1982" s="66"/>
    </row>
    <row r="1983">
      <c r="A1983" s="82"/>
      <c r="B1983" s="66"/>
      <c r="C1983" s="66"/>
      <c r="D1983" s="66"/>
      <c r="F1983" s="66"/>
      <c r="G1983" s="66"/>
    </row>
    <row r="1984">
      <c r="A1984" s="82"/>
      <c r="B1984" s="66"/>
      <c r="C1984" s="66"/>
      <c r="D1984" s="66"/>
      <c r="F1984" s="66"/>
      <c r="G1984" s="66"/>
    </row>
    <row r="1985">
      <c r="A1985" s="82"/>
      <c r="B1985" s="66"/>
      <c r="C1985" s="66"/>
      <c r="D1985" s="66"/>
      <c r="F1985" s="66"/>
      <c r="G1985" s="66"/>
    </row>
    <row r="1986">
      <c r="A1986" s="82"/>
      <c r="B1986" s="66"/>
      <c r="C1986" s="66"/>
      <c r="D1986" s="66"/>
      <c r="F1986" s="66"/>
      <c r="G1986" s="66"/>
    </row>
    <row r="1987">
      <c r="A1987" s="82"/>
      <c r="B1987" s="66"/>
      <c r="C1987" s="66"/>
      <c r="D1987" s="66"/>
      <c r="F1987" s="66"/>
      <c r="G1987" s="66"/>
    </row>
    <row r="1988">
      <c r="A1988" s="82"/>
      <c r="B1988" s="66"/>
      <c r="C1988" s="66"/>
      <c r="D1988" s="66"/>
      <c r="F1988" s="66"/>
      <c r="G1988" s="66"/>
    </row>
    <row r="1989">
      <c r="A1989" s="82"/>
      <c r="B1989" s="66"/>
      <c r="C1989" s="66"/>
      <c r="D1989" s="66"/>
      <c r="F1989" s="66"/>
      <c r="G1989" s="66"/>
    </row>
    <row r="1990">
      <c r="A1990" s="82"/>
      <c r="B1990" s="66"/>
      <c r="C1990" s="66"/>
      <c r="D1990" s="66"/>
      <c r="F1990" s="66"/>
      <c r="G1990" s="66"/>
    </row>
    <row r="1991">
      <c r="A1991" s="82"/>
      <c r="B1991" s="66"/>
      <c r="C1991" s="66"/>
      <c r="D1991" s="66"/>
      <c r="F1991" s="66"/>
      <c r="G1991" s="66"/>
    </row>
    <row r="1992">
      <c r="A1992" s="82"/>
      <c r="B1992" s="66"/>
      <c r="C1992" s="66"/>
      <c r="D1992" s="66"/>
      <c r="F1992" s="66"/>
      <c r="G1992" s="66"/>
    </row>
    <row r="1993">
      <c r="A1993" s="82"/>
      <c r="B1993" s="66"/>
      <c r="C1993" s="66"/>
      <c r="D1993" s="66"/>
      <c r="F1993" s="66"/>
      <c r="G1993" s="66"/>
    </row>
    <row r="1994">
      <c r="A1994" s="82"/>
      <c r="B1994" s="66"/>
      <c r="C1994" s="66"/>
      <c r="D1994" s="66"/>
      <c r="F1994" s="66"/>
      <c r="G1994" s="66"/>
    </row>
    <row r="1995">
      <c r="A1995" s="82"/>
      <c r="B1995" s="66"/>
      <c r="C1995" s="66"/>
      <c r="D1995" s="66"/>
      <c r="F1995" s="66"/>
      <c r="G1995" s="66"/>
    </row>
    <row r="1996">
      <c r="A1996" s="82"/>
      <c r="B1996" s="66"/>
      <c r="C1996" s="66"/>
      <c r="D1996" s="66"/>
      <c r="F1996" s="66"/>
      <c r="G1996" s="66"/>
    </row>
    <row r="1997">
      <c r="A1997" s="82"/>
      <c r="B1997" s="66"/>
      <c r="C1997" s="66"/>
      <c r="D1997" s="66"/>
      <c r="F1997" s="66"/>
      <c r="G1997" s="66"/>
    </row>
    <row r="1998">
      <c r="A1998" s="82"/>
      <c r="B1998" s="66"/>
      <c r="C1998" s="66"/>
      <c r="D1998" s="66"/>
      <c r="F1998" s="66"/>
      <c r="G1998" s="66"/>
    </row>
    <row r="1999">
      <c r="A1999" s="82"/>
      <c r="B1999" s="66"/>
      <c r="C1999" s="66"/>
      <c r="D1999" s="66"/>
      <c r="F1999" s="66"/>
      <c r="G1999" s="66"/>
    </row>
    <row r="2000">
      <c r="A2000" s="82"/>
      <c r="B2000" s="66"/>
      <c r="C2000" s="66"/>
      <c r="D2000" s="66"/>
      <c r="F2000" s="66"/>
      <c r="G2000" s="66"/>
    </row>
    <row r="2001">
      <c r="A2001" s="82"/>
      <c r="B2001" s="66"/>
      <c r="C2001" s="66"/>
      <c r="D2001" s="66"/>
      <c r="F2001" s="66"/>
      <c r="G2001" s="66"/>
    </row>
    <row r="2002">
      <c r="A2002" s="82"/>
      <c r="B2002" s="66"/>
      <c r="C2002" s="66"/>
      <c r="D2002" s="66"/>
      <c r="F2002" s="66"/>
      <c r="G2002" s="66"/>
    </row>
    <row r="2003">
      <c r="A2003" s="82"/>
      <c r="B2003" s="66"/>
      <c r="C2003" s="66"/>
      <c r="D2003" s="66"/>
      <c r="F2003" s="66"/>
      <c r="G2003" s="66"/>
    </row>
    <row r="2004">
      <c r="A2004" s="82"/>
      <c r="B2004" s="66"/>
      <c r="C2004" s="66"/>
      <c r="D2004" s="66"/>
      <c r="F2004" s="66"/>
      <c r="G2004" s="66"/>
    </row>
    <row r="2005">
      <c r="A2005" s="82"/>
      <c r="B2005" s="66"/>
      <c r="C2005" s="66"/>
      <c r="D2005" s="66"/>
      <c r="F2005" s="66"/>
      <c r="G2005" s="66"/>
    </row>
    <row r="2006">
      <c r="A2006" s="82"/>
      <c r="B2006" s="66"/>
      <c r="C2006" s="66"/>
      <c r="D2006" s="66"/>
      <c r="F2006" s="66"/>
      <c r="G2006" s="66"/>
    </row>
    <row r="2007">
      <c r="A2007" s="82"/>
      <c r="B2007" s="66"/>
      <c r="C2007" s="66"/>
      <c r="D2007" s="66"/>
      <c r="F2007" s="66"/>
      <c r="G2007" s="66"/>
    </row>
    <row r="2008">
      <c r="A2008" s="82"/>
      <c r="B2008" s="66"/>
      <c r="C2008" s="66"/>
      <c r="D2008" s="66"/>
      <c r="F2008" s="66"/>
      <c r="G2008" s="66"/>
    </row>
    <row r="2009">
      <c r="A2009" s="82"/>
      <c r="B2009" s="66"/>
      <c r="C2009" s="66"/>
      <c r="D2009" s="66"/>
      <c r="F2009" s="66"/>
      <c r="G2009" s="66"/>
    </row>
    <row r="2010">
      <c r="A2010" s="82"/>
      <c r="B2010" s="66"/>
      <c r="C2010" s="66"/>
      <c r="D2010" s="66"/>
      <c r="F2010" s="66"/>
      <c r="G2010" s="66"/>
    </row>
    <row r="2011">
      <c r="A2011" s="82"/>
      <c r="B2011" s="66"/>
      <c r="C2011" s="66"/>
      <c r="D2011" s="66"/>
      <c r="F2011" s="66"/>
      <c r="G2011" s="66"/>
    </row>
    <row r="2012">
      <c r="A2012" s="82"/>
      <c r="B2012" s="66"/>
      <c r="C2012" s="66"/>
      <c r="D2012" s="66"/>
      <c r="F2012" s="66"/>
      <c r="G2012" s="66"/>
    </row>
    <row r="2013">
      <c r="A2013" s="82"/>
      <c r="B2013" s="66"/>
      <c r="C2013" s="66"/>
      <c r="D2013" s="66"/>
      <c r="F2013" s="66"/>
      <c r="G2013" s="66"/>
    </row>
    <row r="2014">
      <c r="A2014" s="82"/>
      <c r="B2014" s="66"/>
      <c r="C2014" s="66"/>
      <c r="D2014" s="66"/>
      <c r="F2014" s="66"/>
      <c r="G2014" s="66"/>
    </row>
    <row r="2015">
      <c r="A2015" s="82"/>
      <c r="B2015" s="66"/>
      <c r="C2015" s="66"/>
      <c r="D2015" s="66"/>
      <c r="F2015" s="66"/>
      <c r="G2015" s="66"/>
    </row>
    <row r="2016">
      <c r="A2016" s="82"/>
      <c r="B2016" s="66"/>
      <c r="C2016" s="66"/>
      <c r="D2016" s="66"/>
      <c r="F2016" s="66"/>
      <c r="G2016" s="66"/>
    </row>
    <row r="2017">
      <c r="A2017" s="82"/>
      <c r="B2017" s="66"/>
      <c r="C2017" s="66"/>
      <c r="D2017" s="66"/>
      <c r="F2017" s="66"/>
      <c r="G2017" s="66"/>
    </row>
    <row r="2018">
      <c r="A2018" s="82"/>
      <c r="B2018" s="66"/>
      <c r="C2018" s="66"/>
      <c r="D2018" s="66"/>
      <c r="F2018" s="66"/>
      <c r="G2018" s="66"/>
    </row>
    <row r="2019">
      <c r="A2019" s="82"/>
      <c r="B2019" s="66"/>
      <c r="C2019" s="66"/>
      <c r="D2019" s="66"/>
      <c r="F2019" s="66"/>
      <c r="G2019" s="66"/>
    </row>
    <row r="2020">
      <c r="A2020" s="82"/>
      <c r="B2020" s="66"/>
      <c r="C2020" s="66"/>
      <c r="D2020" s="66"/>
      <c r="F2020" s="66"/>
      <c r="G2020" s="66"/>
    </row>
    <row r="2021">
      <c r="A2021" s="82"/>
      <c r="B2021" s="66"/>
      <c r="C2021" s="66"/>
      <c r="D2021" s="66"/>
      <c r="F2021" s="66"/>
      <c r="G2021" s="66"/>
    </row>
    <row r="2022">
      <c r="A2022" s="82"/>
      <c r="B2022" s="66"/>
      <c r="C2022" s="66"/>
      <c r="D2022" s="66"/>
      <c r="F2022" s="66"/>
      <c r="G2022" s="66"/>
    </row>
    <row r="2023">
      <c r="A2023" s="82"/>
      <c r="B2023" s="66"/>
      <c r="C2023" s="66"/>
      <c r="D2023" s="66"/>
      <c r="F2023" s="66"/>
      <c r="G2023" s="66"/>
    </row>
    <row r="2024">
      <c r="A2024" s="82"/>
      <c r="B2024" s="66"/>
      <c r="C2024" s="66"/>
      <c r="D2024" s="66"/>
      <c r="F2024" s="66"/>
      <c r="G2024" s="66"/>
    </row>
    <row r="2025">
      <c r="A2025" s="82"/>
      <c r="B2025" s="66"/>
      <c r="C2025" s="66"/>
      <c r="D2025" s="66"/>
      <c r="F2025" s="66"/>
      <c r="G2025" s="66"/>
    </row>
    <row r="2026">
      <c r="A2026" s="82"/>
      <c r="B2026" s="66"/>
      <c r="C2026" s="66"/>
      <c r="D2026" s="66"/>
      <c r="F2026" s="66"/>
      <c r="G2026" s="66"/>
    </row>
    <row r="2027">
      <c r="A2027" s="82"/>
      <c r="B2027" s="66"/>
      <c r="C2027" s="66"/>
      <c r="D2027" s="66"/>
      <c r="F2027" s="66"/>
      <c r="G2027" s="66"/>
    </row>
    <row r="2028">
      <c r="A2028" s="82"/>
      <c r="B2028" s="66"/>
      <c r="C2028" s="66"/>
      <c r="D2028" s="66"/>
      <c r="F2028" s="66"/>
      <c r="G2028" s="66"/>
    </row>
    <row r="2029">
      <c r="A2029" s="82"/>
      <c r="B2029" s="66"/>
      <c r="C2029" s="66"/>
      <c r="D2029" s="66"/>
      <c r="F2029" s="66"/>
      <c r="G2029" s="66"/>
    </row>
    <row r="2030">
      <c r="A2030" s="82"/>
      <c r="B2030" s="66"/>
      <c r="C2030" s="66"/>
      <c r="D2030" s="66"/>
      <c r="F2030" s="66"/>
      <c r="G2030" s="66"/>
    </row>
    <row r="2031">
      <c r="A2031" s="82"/>
      <c r="B2031" s="66"/>
      <c r="C2031" s="66"/>
      <c r="D2031" s="66"/>
      <c r="F2031" s="66"/>
      <c r="G2031" s="66"/>
    </row>
    <row r="2032">
      <c r="A2032" s="82"/>
      <c r="B2032" s="66"/>
      <c r="C2032" s="66"/>
      <c r="D2032" s="66"/>
      <c r="F2032" s="66"/>
      <c r="G2032" s="66"/>
    </row>
    <row r="2033">
      <c r="A2033" s="82"/>
      <c r="B2033" s="66"/>
      <c r="C2033" s="66"/>
      <c r="D2033" s="66"/>
      <c r="F2033" s="66"/>
      <c r="G2033" s="66"/>
    </row>
    <row r="2034">
      <c r="A2034" s="82"/>
      <c r="B2034" s="66"/>
      <c r="C2034" s="66"/>
      <c r="D2034" s="66"/>
      <c r="F2034" s="66"/>
      <c r="G2034" s="66"/>
    </row>
    <row r="2035">
      <c r="A2035" s="82"/>
      <c r="B2035" s="66"/>
      <c r="C2035" s="66"/>
      <c r="D2035" s="66"/>
      <c r="F2035" s="66"/>
      <c r="G2035" s="66"/>
    </row>
    <row r="2036">
      <c r="A2036" s="82"/>
      <c r="B2036" s="66"/>
      <c r="C2036" s="66"/>
      <c r="D2036" s="66"/>
      <c r="F2036" s="66"/>
      <c r="G2036" s="66"/>
    </row>
    <row r="2037">
      <c r="A2037" s="82"/>
      <c r="B2037" s="66"/>
      <c r="C2037" s="66"/>
      <c r="D2037" s="66"/>
      <c r="F2037" s="66"/>
      <c r="G2037" s="66"/>
    </row>
    <row r="2038">
      <c r="A2038" s="82"/>
      <c r="B2038" s="66"/>
      <c r="C2038" s="66"/>
      <c r="D2038" s="66"/>
      <c r="F2038" s="66"/>
      <c r="G2038" s="66"/>
    </row>
    <row r="2039">
      <c r="A2039" s="82"/>
      <c r="B2039" s="66"/>
      <c r="C2039" s="66"/>
      <c r="D2039" s="66"/>
      <c r="F2039" s="66"/>
      <c r="G2039" s="66"/>
    </row>
    <row r="2040">
      <c r="A2040" s="82"/>
      <c r="B2040" s="66"/>
      <c r="C2040" s="66"/>
      <c r="D2040" s="66"/>
      <c r="F2040" s="66"/>
      <c r="G2040" s="66"/>
    </row>
    <row r="2041">
      <c r="A2041" s="82"/>
      <c r="B2041" s="66"/>
      <c r="C2041" s="66"/>
      <c r="D2041" s="66"/>
      <c r="F2041" s="66"/>
      <c r="G2041" s="66"/>
    </row>
    <row r="2042">
      <c r="A2042" s="82"/>
      <c r="B2042" s="66"/>
      <c r="C2042" s="66"/>
      <c r="D2042" s="66"/>
      <c r="F2042" s="66"/>
      <c r="G2042" s="66"/>
    </row>
    <row r="2043">
      <c r="A2043" s="82"/>
      <c r="B2043" s="66"/>
      <c r="C2043" s="66"/>
      <c r="D2043" s="66"/>
      <c r="F2043" s="66"/>
      <c r="G2043" s="66"/>
    </row>
    <row r="2044">
      <c r="A2044" s="82"/>
      <c r="B2044" s="66"/>
      <c r="C2044" s="66"/>
      <c r="D2044" s="66"/>
      <c r="F2044" s="66"/>
      <c r="G2044" s="66"/>
    </row>
    <row r="2045">
      <c r="A2045" s="82"/>
      <c r="B2045" s="66"/>
      <c r="C2045" s="66"/>
      <c r="D2045" s="66"/>
      <c r="F2045" s="66"/>
      <c r="G2045" s="66"/>
    </row>
    <row r="2046">
      <c r="A2046" s="82"/>
      <c r="B2046" s="66"/>
      <c r="C2046" s="66"/>
      <c r="D2046" s="66"/>
      <c r="F2046" s="66"/>
      <c r="G2046" s="66"/>
    </row>
    <row r="2047">
      <c r="A2047" s="82"/>
      <c r="B2047" s="66"/>
      <c r="C2047" s="66"/>
      <c r="D2047" s="66"/>
      <c r="F2047" s="66"/>
      <c r="G2047" s="66"/>
    </row>
    <row r="2048">
      <c r="A2048" s="82"/>
      <c r="B2048" s="66"/>
      <c r="C2048" s="66"/>
      <c r="D2048" s="66"/>
      <c r="F2048" s="66"/>
      <c r="G2048" s="66"/>
    </row>
    <row r="2049">
      <c r="A2049" s="82"/>
      <c r="B2049" s="66"/>
      <c r="C2049" s="66"/>
      <c r="D2049" s="66"/>
      <c r="F2049" s="66"/>
      <c r="G2049" s="66"/>
    </row>
    <row r="2050">
      <c r="A2050" s="82"/>
      <c r="B2050" s="66"/>
      <c r="C2050" s="66"/>
      <c r="D2050" s="66"/>
      <c r="F2050" s="66"/>
      <c r="G2050" s="66"/>
    </row>
    <row r="2051">
      <c r="A2051" s="82"/>
      <c r="B2051" s="66"/>
      <c r="C2051" s="66"/>
      <c r="D2051" s="66"/>
      <c r="F2051" s="66"/>
      <c r="G2051" s="66"/>
    </row>
    <row r="2052">
      <c r="A2052" s="82"/>
      <c r="B2052" s="66"/>
      <c r="C2052" s="66"/>
      <c r="D2052" s="66"/>
      <c r="F2052" s="66"/>
      <c r="G2052" s="66"/>
    </row>
    <row r="2053">
      <c r="A2053" s="82"/>
      <c r="B2053" s="66"/>
      <c r="C2053" s="66"/>
      <c r="D2053" s="66"/>
      <c r="F2053" s="66"/>
      <c r="G2053" s="66"/>
    </row>
    <row r="2054">
      <c r="A2054" s="82"/>
      <c r="B2054" s="66"/>
      <c r="C2054" s="66"/>
      <c r="D2054" s="66"/>
      <c r="F2054" s="66"/>
      <c r="G2054" s="66"/>
    </row>
    <row r="2055">
      <c r="A2055" s="82"/>
      <c r="B2055" s="66"/>
      <c r="C2055" s="66"/>
      <c r="D2055" s="66"/>
      <c r="F2055" s="66"/>
      <c r="G2055" s="66"/>
    </row>
    <row r="2056">
      <c r="A2056" s="82"/>
      <c r="B2056" s="66"/>
      <c r="C2056" s="66"/>
      <c r="D2056" s="66"/>
      <c r="F2056" s="66"/>
      <c r="G2056" s="66"/>
    </row>
    <row r="2057">
      <c r="A2057" s="82"/>
      <c r="B2057" s="66"/>
      <c r="C2057" s="66"/>
      <c r="D2057" s="66"/>
      <c r="F2057" s="66"/>
      <c r="G2057" s="66"/>
    </row>
    <row r="2058">
      <c r="A2058" s="82"/>
      <c r="B2058" s="66"/>
      <c r="C2058" s="66"/>
      <c r="D2058" s="66"/>
      <c r="F2058" s="66"/>
      <c r="G2058" s="66"/>
    </row>
    <row r="2059">
      <c r="A2059" s="82"/>
      <c r="B2059" s="66"/>
      <c r="C2059" s="66"/>
      <c r="D2059" s="66"/>
      <c r="F2059" s="66"/>
      <c r="G2059" s="66"/>
    </row>
    <row r="2060">
      <c r="A2060" s="82"/>
      <c r="B2060" s="66"/>
      <c r="C2060" s="66"/>
      <c r="D2060" s="66"/>
      <c r="F2060" s="66"/>
      <c r="G2060" s="66"/>
    </row>
    <row r="2061">
      <c r="A2061" s="82"/>
      <c r="B2061" s="66"/>
      <c r="C2061" s="66"/>
      <c r="D2061" s="66"/>
      <c r="F2061" s="66"/>
      <c r="G2061" s="66"/>
    </row>
    <row r="2062">
      <c r="A2062" s="82"/>
      <c r="B2062" s="66"/>
      <c r="C2062" s="66"/>
      <c r="D2062" s="66"/>
      <c r="F2062" s="66"/>
      <c r="G2062" s="66"/>
    </row>
    <row r="2063">
      <c r="A2063" s="82"/>
      <c r="B2063" s="66"/>
      <c r="C2063" s="66"/>
      <c r="D2063" s="66"/>
      <c r="F2063" s="66"/>
      <c r="G2063" s="66"/>
    </row>
    <row r="2064">
      <c r="A2064" s="82"/>
      <c r="B2064" s="66"/>
      <c r="C2064" s="66"/>
      <c r="D2064" s="66"/>
      <c r="F2064" s="66"/>
      <c r="G2064" s="66"/>
    </row>
    <row r="2065">
      <c r="A2065" s="82"/>
      <c r="B2065" s="66"/>
      <c r="C2065" s="66"/>
      <c r="D2065" s="66"/>
      <c r="F2065" s="66"/>
      <c r="G2065" s="66"/>
    </row>
    <row r="2066">
      <c r="A2066" s="82"/>
      <c r="B2066" s="66"/>
      <c r="C2066" s="66"/>
      <c r="D2066" s="66"/>
      <c r="F2066" s="66"/>
      <c r="G2066" s="66"/>
    </row>
    <row r="2067">
      <c r="A2067" s="82"/>
      <c r="B2067" s="66"/>
      <c r="C2067" s="66"/>
      <c r="D2067" s="66"/>
      <c r="F2067" s="66"/>
      <c r="G2067" s="66"/>
    </row>
    <row r="2068">
      <c r="A2068" s="82"/>
      <c r="B2068" s="66"/>
      <c r="C2068" s="66"/>
      <c r="D2068" s="66"/>
      <c r="F2068" s="66"/>
      <c r="G2068" s="66"/>
    </row>
    <row r="2069">
      <c r="A2069" s="82"/>
      <c r="B2069" s="66"/>
      <c r="C2069" s="66"/>
      <c r="D2069" s="66"/>
      <c r="F2069" s="66"/>
      <c r="G2069" s="66"/>
    </row>
    <row r="2070">
      <c r="A2070" s="82"/>
      <c r="B2070" s="66"/>
      <c r="C2070" s="66"/>
      <c r="D2070" s="66"/>
      <c r="F2070" s="66"/>
      <c r="G2070" s="66"/>
    </row>
    <row r="2071">
      <c r="A2071" s="82"/>
      <c r="B2071" s="66"/>
      <c r="C2071" s="66"/>
      <c r="D2071" s="66"/>
      <c r="F2071" s="66"/>
      <c r="G2071" s="66"/>
    </row>
    <row r="2072">
      <c r="A2072" s="82"/>
      <c r="B2072" s="66"/>
      <c r="C2072" s="66"/>
      <c r="D2072" s="66"/>
      <c r="F2072" s="66"/>
      <c r="G2072" s="66"/>
    </row>
    <row r="2073">
      <c r="A2073" s="82"/>
      <c r="B2073" s="66"/>
      <c r="C2073" s="66"/>
      <c r="D2073" s="66"/>
      <c r="F2073" s="66"/>
      <c r="G2073" s="66"/>
    </row>
    <row r="2074">
      <c r="A2074" s="82"/>
      <c r="B2074" s="66"/>
      <c r="C2074" s="66"/>
      <c r="D2074" s="66"/>
      <c r="F2074" s="66"/>
      <c r="G2074" s="66"/>
    </row>
    <row r="2075">
      <c r="A2075" s="82"/>
      <c r="B2075" s="66"/>
      <c r="C2075" s="66"/>
      <c r="D2075" s="66"/>
      <c r="F2075" s="66"/>
      <c r="G2075" s="66"/>
    </row>
    <row r="2076">
      <c r="A2076" s="82"/>
      <c r="B2076" s="66"/>
      <c r="C2076" s="66"/>
      <c r="D2076" s="66"/>
      <c r="F2076" s="66"/>
      <c r="G2076" s="66"/>
    </row>
    <row r="2077">
      <c r="A2077" s="82"/>
      <c r="B2077" s="66"/>
      <c r="C2077" s="66"/>
      <c r="D2077" s="66"/>
      <c r="F2077" s="66"/>
      <c r="G2077" s="66"/>
    </row>
    <row r="2078">
      <c r="A2078" s="82"/>
      <c r="B2078" s="66"/>
      <c r="C2078" s="66"/>
      <c r="D2078" s="66"/>
      <c r="F2078" s="66"/>
      <c r="G2078" s="66"/>
    </row>
    <row r="2079">
      <c r="A2079" s="82"/>
      <c r="B2079" s="66"/>
      <c r="C2079" s="66"/>
      <c r="D2079" s="66"/>
      <c r="F2079" s="66"/>
      <c r="G2079" s="66"/>
    </row>
    <row r="2080">
      <c r="A2080" s="82"/>
      <c r="B2080" s="66"/>
      <c r="C2080" s="66"/>
      <c r="D2080" s="66"/>
      <c r="F2080" s="66"/>
      <c r="G2080" s="66"/>
    </row>
    <row r="2081">
      <c r="A2081" s="82"/>
      <c r="B2081" s="66"/>
      <c r="C2081" s="66"/>
      <c r="D2081" s="66"/>
      <c r="F2081" s="66"/>
      <c r="G2081" s="66"/>
    </row>
    <row r="2082">
      <c r="A2082" s="82"/>
      <c r="B2082" s="66"/>
      <c r="C2082" s="66"/>
      <c r="D2082" s="66"/>
      <c r="F2082" s="66"/>
      <c r="G2082" s="66"/>
    </row>
    <row r="2083">
      <c r="A2083" s="82"/>
      <c r="B2083" s="66"/>
      <c r="C2083" s="66"/>
      <c r="D2083" s="66"/>
      <c r="F2083" s="66"/>
      <c r="G2083" s="66"/>
    </row>
    <row r="2084">
      <c r="A2084" s="82"/>
      <c r="B2084" s="66"/>
      <c r="C2084" s="66"/>
      <c r="D2084" s="66"/>
      <c r="F2084" s="66"/>
      <c r="G2084" s="66"/>
    </row>
    <row r="2085">
      <c r="A2085" s="82"/>
      <c r="B2085" s="66"/>
      <c r="C2085" s="66"/>
      <c r="D2085" s="66"/>
      <c r="F2085" s="66"/>
      <c r="G2085" s="66"/>
    </row>
    <row r="2086">
      <c r="A2086" s="82"/>
      <c r="B2086" s="66"/>
      <c r="C2086" s="66"/>
      <c r="D2086" s="66"/>
      <c r="F2086" s="66"/>
      <c r="G2086" s="66"/>
    </row>
    <row r="2087">
      <c r="A2087" s="82"/>
      <c r="B2087" s="66"/>
      <c r="C2087" s="66"/>
      <c r="D2087" s="66"/>
      <c r="F2087" s="66"/>
      <c r="G2087" s="66"/>
    </row>
    <row r="2088">
      <c r="A2088" s="82"/>
      <c r="B2088" s="66"/>
      <c r="C2088" s="66"/>
      <c r="D2088" s="66"/>
      <c r="F2088" s="66"/>
      <c r="G2088" s="66"/>
    </row>
    <row r="2089">
      <c r="A2089" s="82"/>
      <c r="B2089" s="66"/>
      <c r="C2089" s="66"/>
      <c r="D2089" s="66"/>
      <c r="F2089" s="66"/>
      <c r="G2089" s="66"/>
    </row>
    <row r="2090">
      <c r="A2090" s="82"/>
      <c r="B2090" s="66"/>
      <c r="C2090" s="66"/>
      <c r="D2090" s="66"/>
      <c r="F2090" s="66"/>
      <c r="G2090" s="66"/>
    </row>
    <row r="2091">
      <c r="A2091" s="82"/>
      <c r="B2091" s="66"/>
      <c r="C2091" s="66"/>
      <c r="D2091" s="66"/>
      <c r="F2091" s="66"/>
      <c r="G2091" s="66"/>
    </row>
    <row r="2092">
      <c r="A2092" s="82"/>
      <c r="B2092" s="66"/>
      <c r="C2092" s="66"/>
      <c r="D2092" s="66"/>
      <c r="F2092" s="66"/>
      <c r="G2092" s="66"/>
    </row>
    <row r="2093">
      <c r="A2093" s="82"/>
      <c r="B2093" s="66"/>
      <c r="C2093" s="66"/>
      <c r="D2093" s="66"/>
      <c r="F2093" s="66"/>
      <c r="G2093" s="66"/>
    </row>
    <row r="2094">
      <c r="A2094" s="82"/>
      <c r="B2094" s="66"/>
      <c r="C2094" s="66"/>
      <c r="D2094" s="66"/>
      <c r="F2094" s="66"/>
      <c r="G2094" s="66"/>
    </row>
    <row r="2095">
      <c r="A2095" s="82"/>
      <c r="B2095" s="66"/>
      <c r="C2095" s="66"/>
      <c r="D2095" s="66"/>
      <c r="F2095" s="66"/>
      <c r="G2095" s="66"/>
    </row>
    <row r="2096">
      <c r="A2096" s="82"/>
      <c r="B2096" s="66"/>
      <c r="C2096" s="66"/>
      <c r="D2096" s="66"/>
      <c r="F2096" s="66"/>
      <c r="G2096" s="66"/>
    </row>
    <row r="2097">
      <c r="A2097" s="82"/>
      <c r="B2097" s="66"/>
      <c r="C2097" s="66"/>
      <c r="D2097" s="66"/>
      <c r="F2097" s="66"/>
      <c r="G2097" s="66"/>
    </row>
    <row r="2098">
      <c r="A2098" s="82"/>
      <c r="B2098" s="66"/>
      <c r="C2098" s="66"/>
      <c r="D2098" s="66"/>
      <c r="F2098" s="66"/>
      <c r="G2098" s="66"/>
    </row>
    <row r="2099">
      <c r="A2099" s="82"/>
      <c r="B2099" s="66"/>
      <c r="C2099" s="66"/>
      <c r="D2099" s="66"/>
      <c r="F2099" s="66"/>
      <c r="G2099" s="66"/>
    </row>
    <row r="2100">
      <c r="A2100" s="82"/>
      <c r="B2100" s="66"/>
      <c r="C2100" s="66"/>
      <c r="D2100" s="66"/>
      <c r="F2100" s="66"/>
      <c r="G2100" s="66"/>
    </row>
    <row r="2101">
      <c r="A2101" s="82"/>
      <c r="B2101" s="66"/>
      <c r="C2101" s="66"/>
      <c r="D2101" s="66"/>
      <c r="F2101" s="66"/>
      <c r="G2101" s="66"/>
    </row>
    <row r="2102">
      <c r="A2102" s="82"/>
      <c r="B2102" s="66"/>
      <c r="C2102" s="66"/>
      <c r="D2102" s="66"/>
      <c r="F2102" s="66"/>
      <c r="G2102" s="66"/>
    </row>
    <row r="2103">
      <c r="A2103" s="82"/>
      <c r="B2103" s="66"/>
      <c r="C2103" s="66"/>
      <c r="D2103" s="66"/>
      <c r="F2103" s="66"/>
      <c r="G2103" s="66"/>
    </row>
    <row r="2104">
      <c r="A2104" s="82"/>
      <c r="B2104" s="66"/>
      <c r="C2104" s="66"/>
      <c r="D2104" s="66"/>
      <c r="F2104" s="66"/>
      <c r="G2104" s="66"/>
    </row>
    <row r="2105">
      <c r="A2105" s="82"/>
      <c r="B2105" s="66"/>
      <c r="C2105" s="66"/>
      <c r="D2105" s="66"/>
      <c r="F2105" s="66"/>
      <c r="G2105" s="66"/>
    </row>
    <row r="2106">
      <c r="A2106" s="82"/>
      <c r="B2106" s="66"/>
      <c r="C2106" s="66"/>
      <c r="D2106" s="66"/>
      <c r="F2106" s="66"/>
      <c r="G2106" s="66"/>
    </row>
  </sheetData>
  <conditionalFormatting sqref="I1:I2106">
    <cfRule type="cellIs" dxfId="1" priority="1" operator="greaterThan">
      <formula>3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79" t="s">
        <v>241</v>
      </c>
      <c r="B1" s="79" t="s">
        <v>242</v>
      </c>
      <c r="C1" s="79" t="s">
        <v>243</v>
      </c>
      <c r="D1" s="79" t="s">
        <v>244</v>
      </c>
      <c r="E1" s="79" t="s">
        <v>196</v>
      </c>
      <c r="F1" s="79" t="s">
        <v>245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>
      <c r="A2" s="82">
        <v>44620.0</v>
      </c>
      <c r="B2" s="66">
        <v>2381.0</v>
      </c>
      <c r="C2" s="66">
        <v>2381.0</v>
      </c>
      <c r="D2" s="66">
        <v>1.0</v>
      </c>
      <c r="E2" s="66">
        <v>0.094</v>
      </c>
      <c r="F2" s="66">
        <v>3.0</v>
      </c>
    </row>
    <row r="3">
      <c r="A3" s="82">
        <v>44620.0</v>
      </c>
      <c r="B3" s="66">
        <v>2351.05</v>
      </c>
      <c r="C3" s="66">
        <v>2351.0</v>
      </c>
      <c r="D3" s="66">
        <v>5.0</v>
      </c>
      <c r="E3" s="66">
        <v>0.809</v>
      </c>
      <c r="F3" s="66">
        <v>3.0</v>
      </c>
    </row>
    <row r="4">
      <c r="A4" s="82">
        <v>44620.0</v>
      </c>
      <c r="B4" s="66">
        <v>2384.0</v>
      </c>
      <c r="C4" s="66">
        <v>2384.0</v>
      </c>
      <c r="D4" s="66">
        <v>3.0</v>
      </c>
      <c r="E4" s="66">
        <v>0.125</v>
      </c>
      <c r="F4" s="66">
        <v>3.0</v>
      </c>
    </row>
    <row r="5">
      <c r="A5" s="82">
        <v>44620.0</v>
      </c>
      <c r="B5" s="66">
        <v>2381.07</v>
      </c>
      <c r="C5" s="66">
        <v>2381.0</v>
      </c>
      <c r="D5" s="66">
        <v>7.0</v>
      </c>
      <c r="E5" s="66">
        <v>0.497</v>
      </c>
      <c r="F5" s="66">
        <v>3.0</v>
      </c>
    </row>
    <row r="6">
      <c r="A6" s="82">
        <v>44620.0</v>
      </c>
      <c r="B6" s="66">
        <v>2384.0</v>
      </c>
      <c r="C6" s="66">
        <v>2384.0</v>
      </c>
      <c r="D6" s="66">
        <v>7.0</v>
      </c>
      <c r="E6" s="66">
        <v>0.134</v>
      </c>
      <c r="F6" s="66">
        <v>3.0</v>
      </c>
    </row>
    <row r="7">
      <c r="A7" s="82">
        <v>44620.0</v>
      </c>
      <c r="B7" s="66">
        <v>2381.0</v>
      </c>
      <c r="C7" s="66">
        <v>2381.0</v>
      </c>
      <c r="D7" s="66">
        <v>1.0</v>
      </c>
      <c r="E7" s="66">
        <v>0.237</v>
      </c>
      <c r="F7" s="66">
        <v>3.0</v>
      </c>
    </row>
    <row r="8">
      <c r="A8" s="82">
        <v>44620.0</v>
      </c>
      <c r="B8" s="66">
        <v>2381.0</v>
      </c>
      <c r="C8" s="66">
        <v>2381.0</v>
      </c>
      <c r="D8" s="66">
        <v>2.0</v>
      </c>
      <c r="E8" s="66">
        <v>0.117</v>
      </c>
      <c r="F8" s="66">
        <v>3.0</v>
      </c>
    </row>
    <row r="9">
      <c r="A9" s="82">
        <v>44620.0</v>
      </c>
      <c r="B9" s="66">
        <v>2381.0</v>
      </c>
      <c r="C9" s="66">
        <v>2381.0</v>
      </c>
      <c r="D9" s="66">
        <v>2.0</v>
      </c>
      <c r="E9" s="66">
        <v>0.159</v>
      </c>
      <c r="F9" s="66">
        <v>3.0</v>
      </c>
    </row>
    <row r="10">
      <c r="A10" s="82">
        <v>44620.0</v>
      </c>
      <c r="B10" s="66">
        <v>2384.0</v>
      </c>
      <c r="C10" s="66">
        <v>2384.0</v>
      </c>
      <c r="D10" s="66">
        <v>4.0</v>
      </c>
      <c r="E10" s="66">
        <v>0.061</v>
      </c>
      <c r="F10" s="66">
        <v>3.0</v>
      </c>
    </row>
    <row r="11">
      <c r="A11" s="82">
        <v>44620.0</v>
      </c>
      <c r="B11" s="66">
        <v>2381.04</v>
      </c>
      <c r="C11" s="66">
        <v>2381.0</v>
      </c>
      <c r="D11" s="66">
        <v>4.0</v>
      </c>
      <c r="E11" s="66">
        <v>0.3</v>
      </c>
      <c r="F11" s="66">
        <v>3.0</v>
      </c>
    </row>
    <row r="12">
      <c r="A12" s="82">
        <v>44620.0</v>
      </c>
      <c r="B12" s="66">
        <v>2381.03</v>
      </c>
      <c r="C12" s="66">
        <v>2381.0</v>
      </c>
      <c r="D12" s="66">
        <v>3.0</v>
      </c>
      <c r="E12" s="66">
        <v>0.232</v>
      </c>
      <c r="F12" s="66">
        <v>3.0</v>
      </c>
    </row>
    <row r="13">
      <c r="A13" s="82">
        <v>44620.0</v>
      </c>
      <c r="B13" s="66">
        <v>2384.0</v>
      </c>
      <c r="C13" s="66">
        <v>2384.0</v>
      </c>
      <c r="D13" s="66">
        <v>6.0</v>
      </c>
      <c r="E13" s="66">
        <v>0.107</v>
      </c>
      <c r="F13" s="66">
        <v>3.0</v>
      </c>
    </row>
    <row r="14">
      <c r="A14" s="82">
        <v>44620.0</v>
      </c>
      <c r="B14" s="66">
        <v>2381.02</v>
      </c>
      <c r="C14" s="66">
        <v>2381.0</v>
      </c>
      <c r="D14" s="66">
        <v>2.0</v>
      </c>
      <c r="E14" s="66">
        <v>0.722</v>
      </c>
      <c r="F14" s="66">
        <v>3.0</v>
      </c>
    </row>
    <row r="15">
      <c r="A15" s="82">
        <v>44620.0</v>
      </c>
      <c r="B15" s="66">
        <v>2381.0</v>
      </c>
      <c r="C15" s="66">
        <v>2381.0</v>
      </c>
      <c r="D15" s="66">
        <v>4.0</v>
      </c>
      <c r="E15" s="66">
        <v>0.119</v>
      </c>
      <c r="F15" s="66">
        <v>3.0</v>
      </c>
    </row>
    <row r="16">
      <c r="A16" s="82">
        <v>44620.0</v>
      </c>
      <c r="B16" s="66">
        <v>2384.0</v>
      </c>
      <c r="C16" s="66">
        <v>2384.0</v>
      </c>
      <c r="D16" s="66">
        <v>2.0</v>
      </c>
      <c r="E16" s="66">
        <v>0.097</v>
      </c>
      <c r="F16" s="66">
        <v>3.0</v>
      </c>
    </row>
    <row r="17">
      <c r="A17" s="82">
        <v>44620.0</v>
      </c>
      <c r="B17" s="66">
        <v>2381.0</v>
      </c>
      <c r="C17" s="66">
        <v>2381.0</v>
      </c>
      <c r="D17" s="66">
        <v>3.0</v>
      </c>
      <c r="E17" s="66">
        <v>0.12</v>
      </c>
      <c r="F17" s="66">
        <v>3.0</v>
      </c>
    </row>
    <row r="18">
      <c r="A18" s="82">
        <v>44620.0</v>
      </c>
      <c r="B18" s="66">
        <v>2381.0</v>
      </c>
      <c r="C18" s="66">
        <v>2381.0</v>
      </c>
      <c r="D18" s="66">
        <v>5.0</v>
      </c>
      <c r="E18" s="66">
        <v>0.366</v>
      </c>
      <c r="F18" s="66">
        <v>3.0</v>
      </c>
    </row>
    <row r="19">
      <c r="A19" s="82">
        <v>44620.0</v>
      </c>
      <c r="B19" s="66">
        <v>2381.0</v>
      </c>
      <c r="C19" s="66">
        <v>2381.0</v>
      </c>
      <c r="D19" s="66">
        <v>3.0</v>
      </c>
      <c r="E19" s="66">
        <v>0.083</v>
      </c>
      <c r="F19" s="66">
        <v>3.0</v>
      </c>
    </row>
    <row r="20">
      <c r="A20" s="82">
        <v>44620.0</v>
      </c>
      <c r="B20" s="66">
        <v>2381.06</v>
      </c>
      <c r="C20" s="66">
        <v>2381.0</v>
      </c>
      <c r="D20" s="66">
        <v>6.0</v>
      </c>
      <c r="E20" s="66">
        <v>0.346</v>
      </c>
      <c r="F20" s="66">
        <v>3.0</v>
      </c>
    </row>
    <row r="21">
      <c r="A21" s="82">
        <v>44620.0</v>
      </c>
      <c r="B21" s="66">
        <v>2381.0</v>
      </c>
      <c r="C21" s="66">
        <v>2381.0</v>
      </c>
      <c r="D21" s="66">
        <v>5.0</v>
      </c>
      <c r="E21" s="66">
        <v>0.138</v>
      </c>
      <c r="F21" s="66">
        <v>3.0</v>
      </c>
    </row>
    <row r="22">
      <c r="A22" s="82">
        <v>44620.0</v>
      </c>
      <c r="B22" s="66">
        <v>2384.0</v>
      </c>
      <c r="C22" s="66">
        <v>2384.0</v>
      </c>
      <c r="D22" s="66">
        <v>1.0</v>
      </c>
      <c r="E22" s="66">
        <v>0.32</v>
      </c>
      <c r="F22" s="66">
        <v>3.0</v>
      </c>
    </row>
    <row r="23">
      <c r="A23" s="82">
        <v>44620.0</v>
      </c>
      <c r="B23" s="66">
        <v>2381.0</v>
      </c>
      <c r="C23" s="66">
        <v>2381.0</v>
      </c>
      <c r="D23" s="66">
        <v>1.0</v>
      </c>
      <c r="E23" s="66">
        <v>0.399</v>
      </c>
      <c r="F23" s="66">
        <v>3.0</v>
      </c>
    </row>
    <row r="24">
      <c r="A24" s="82">
        <v>44620.0</v>
      </c>
      <c r="B24" s="66">
        <v>2384.0</v>
      </c>
      <c r="C24" s="66">
        <v>2384.0</v>
      </c>
      <c r="D24" s="66">
        <v>5.0</v>
      </c>
      <c r="E24" s="66">
        <v>0.089</v>
      </c>
      <c r="F24" s="66">
        <v>3.0</v>
      </c>
    </row>
    <row r="25">
      <c r="A25" s="82">
        <v>44620.0</v>
      </c>
      <c r="B25" s="66">
        <v>2381.0</v>
      </c>
      <c r="C25" s="66">
        <v>2381.0</v>
      </c>
      <c r="D25" s="66">
        <v>4.0</v>
      </c>
      <c r="E25" s="66">
        <v>0.141</v>
      </c>
      <c r="F25" s="66">
        <v>3.0</v>
      </c>
    </row>
    <row r="26">
      <c r="A26" s="82">
        <v>44635.0</v>
      </c>
      <c r="B26" s="66">
        <v>2346.0</v>
      </c>
      <c r="C26" s="66">
        <v>2346.0</v>
      </c>
      <c r="D26" s="66">
        <v>3.0</v>
      </c>
      <c r="E26" s="66">
        <v>0.0095</v>
      </c>
      <c r="F26" s="66">
        <v>3.0</v>
      </c>
    </row>
    <row r="27">
      <c r="A27" s="82">
        <v>44635.0</v>
      </c>
      <c r="B27" s="66">
        <v>2367.0</v>
      </c>
      <c r="C27" s="66">
        <v>2367.0</v>
      </c>
      <c r="D27" s="66">
        <v>2.0</v>
      </c>
      <c r="E27" s="66">
        <v>0.105</v>
      </c>
      <c r="F27" s="66">
        <v>3.0</v>
      </c>
    </row>
    <row r="28">
      <c r="A28" s="82">
        <v>44635.0</v>
      </c>
      <c r="B28" s="66">
        <v>2365.0</v>
      </c>
      <c r="C28" s="66">
        <v>2365.0</v>
      </c>
      <c r="D28" s="66">
        <v>6.0</v>
      </c>
      <c r="E28" s="66">
        <v>0.993</v>
      </c>
      <c r="F28" s="66">
        <v>3.0</v>
      </c>
    </row>
    <row r="29">
      <c r="A29" s="82">
        <v>44635.0</v>
      </c>
      <c r="B29" s="66">
        <v>2365.0</v>
      </c>
      <c r="C29" s="66">
        <v>2365.0</v>
      </c>
      <c r="D29" s="66">
        <v>2.0</v>
      </c>
      <c r="E29" s="66">
        <v>0.674</v>
      </c>
      <c r="F29" s="66">
        <v>3.0</v>
      </c>
    </row>
    <row r="30">
      <c r="A30" s="82">
        <v>44635.0</v>
      </c>
      <c r="B30" s="66">
        <v>2365.0</v>
      </c>
      <c r="C30" s="66">
        <v>2365.0</v>
      </c>
      <c r="D30" s="66">
        <v>1.0</v>
      </c>
      <c r="E30" s="66">
        <v>1.064</v>
      </c>
      <c r="F30" s="66">
        <v>3.0</v>
      </c>
    </row>
    <row r="31">
      <c r="A31" s="82">
        <v>44635.0</v>
      </c>
      <c r="B31" s="66">
        <v>2365.0</v>
      </c>
      <c r="C31" s="66">
        <v>2365.0</v>
      </c>
      <c r="D31" s="66">
        <v>5.0</v>
      </c>
      <c r="E31" s="66">
        <v>0.981</v>
      </c>
      <c r="F31" s="66">
        <v>3.0</v>
      </c>
    </row>
    <row r="32">
      <c r="A32" s="82">
        <v>44635.0</v>
      </c>
      <c r="B32" s="66">
        <v>2343.0</v>
      </c>
      <c r="C32" s="66">
        <v>2343.0</v>
      </c>
      <c r="D32" s="66">
        <v>5.0</v>
      </c>
      <c r="E32" s="66">
        <v>0.118</v>
      </c>
      <c r="F32" s="66">
        <v>3.0</v>
      </c>
    </row>
    <row r="33">
      <c r="A33" s="82">
        <v>44635.0</v>
      </c>
      <c r="B33" s="66">
        <v>2346.0</v>
      </c>
      <c r="C33" s="66">
        <v>2346.0</v>
      </c>
      <c r="D33" s="66">
        <v>6.0</v>
      </c>
      <c r="E33" s="66">
        <v>0.083</v>
      </c>
      <c r="F33" s="66">
        <v>3.0</v>
      </c>
    </row>
    <row r="34">
      <c r="A34" s="82">
        <v>44635.0</v>
      </c>
      <c r="B34" s="66">
        <v>2347.0</v>
      </c>
      <c r="C34" s="66">
        <v>2347.0</v>
      </c>
      <c r="D34" s="66">
        <v>4.0</v>
      </c>
      <c r="E34" s="66">
        <v>0.039</v>
      </c>
      <c r="F34" s="66">
        <v>3.0</v>
      </c>
    </row>
    <row r="35">
      <c r="A35" s="82">
        <v>44635.0</v>
      </c>
      <c r="B35" s="66">
        <v>2343.0</v>
      </c>
      <c r="C35" s="66">
        <v>2343.0</v>
      </c>
      <c r="D35" s="66">
        <v>6.0</v>
      </c>
      <c r="E35" s="66">
        <v>0.031</v>
      </c>
      <c r="F35" s="66">
        <v>3.0</v>
      </c>
    </row>
    <row r="36">
      <c r="A36" s="82">
        <v>44635.0</v>
      </c>
      <c r="B36" s="66">
        <v>2346.0</v>
      </c>
      <c r="C36" s="66">
        <v>2346.0</v>
      </c>
      <c r="D36" s="66">
        <v>2.0</v>
      </c>
      <c r="E36" s="66">
        <v>0.186</v>
      </c>
      <c r="F36" s="66">
        <v>3.0</v>
      </c>
    </row>
    <row r="37">
      <c r="A37" s="82">
        <v>44635.0</v>
      </c>
      <c r="B37" s="66">
        <v>2343.0</v>
      </c>
      <c r="C37" s="66">
        <v>2343.0</v>
      </c>
      <c r="D37" s="66">
        <v>3.0</v>
      </c>
      <c r="E37" s="66">
        <v>0.091</v>
      </c>
      <c r="F37" s="66">
        <v>3.0</v>
      </c>
    </row>
    <row r="38">
      <c r="A38" s="82">
        <v>44635.0</v>
      </c>
      <c r="B38" s="66">
        <v>2343.0</v>
      </c>
      <c r="C38" s="66">
        <v>2343.0</v>
      </c>
      <c r="D38" s="66">
        <v>4.0</v>
      </c>
      <c r="E38" s="66">
        <v>0.207</v>
      </c>
      <c r="F38" s="66">
        <v>3.0</v>
      </c>
    </row>
    <row r="39">
      <c r="A39" s="82">
        <v>44635.0</v>
      </c>
      <c r="B39" s="66">
        <v>2365.0</v>
      </c>
      <c r="C39" s="66">
        <v>2365.0</v>
      </c>
      <c r="D39" s="66">
        <v>4.0</v>
      </c>
      <c r="E39" s="66">
        <v>0.475</v>
      </c>
      <c r="F39" s="66">
        <v>1.0</v>
      </c>
    </row>
    <row r="40">
      <c r="A40" s="82">
        <v>44635.0</v>
      </c>
      <c r="B40" s="66">
        <v>2347.0</v>
      </c>
      <c r="C40" s="66">
        <v>2347.0</v>
      </c>
      <c r="D40" s="66">
        <v>5.0</v>
      </c>
      <c r="E40" s="66">
        <v>0.028</v>
      </c>
      <c r="F40" s="66">
        <v>3.0</v>
      </c>
    </row>
    <row r="41">
      <c r="A41" s="82">
        <v>44635.0</v>
      </c>
      <c r="B41" s="66">
        <v>2365.0</v>
      </c>
      <c r="C41" s="66">
        <v>2365.0</v>
      </c>
      <c r="D41" s="66">
        <v>3.0</v>
      </c>
      <c r="E41" s="66">
        <v>0.579</v>
      </c>
      <c r="F41" s="66">
        <v>3.0</v>
      </c>
    </row>
    <row r="42">
      <c r="A42" s="82">
        <v>44635.0</v>
      </c>
      <c r="B42" s="66">
        <v>2369.0</v>
      </c>
      <c r="C42" s="66">
        <v>2369.0</v>
      </c>
      <c r="D42" s="66">
        <v>6.0</v>
      </c>
      <c r="E42" s="66">
        <v>0.252</v>
      </c>
      <c r="F42" s="66">
        <v>3.0</v>
      </c>
    </row>
    <row r="43">
      <c r="A43" s="82">
        <v>44635.0</v>
      </c>
      <c r="B43" s="66">
        <v>2369.0</v>
      </c>
      <c r="C43" s="66">
        <v>2369.0</v>
      </c>
      <c r="D43" s="66">
        <v>3.0</v>
      </c>
      <c r="E43" s="66">
        <v>0.229</v>
      </c>
      <c r="F43" s="66">
        <v>3.0</v>
      </c>
    </row>
    <row r="44">
      <c r="A44" s="82">
        <v>44635.0</v>
      </c>
      <c r="B44" s="66">
        <v>2346.0</v>
      </c>
      <c r="C44" s="66">
        <v>2346.0</v>
      </c>
      <c r="D44" s="66">
        <v>4.0</v>
      </c>
      <c r="E44" s="66">
        <v>0.036</v>
      </c>
      <c r="F44" s="66">
        <v>3.0</v>
      </c>
    </row>
    <row r="45">
      <c r="A45" s="82">
        <v>44635.0</v>
      </c>
      <c r="B45" s="66">
        <v>2343.0</v>
      </c>
      <c r="C45" s="66">
        <v>2343.0</v>
      </c>
      <c r="D45" s="66">
        <v>2.0</v>
      </c>
      <c r="E45" s="66">
        <v>0.053</v>
      </c>
      <c r="F45" s="66">
        <v>3.0</v>
      </c>
    </row>
    <row r="46">
      <c r="A46" s="82">
        <v>44635.0</v>
      </c>
      <c r="B46" s="66">
        <v>2369.0</v>
      </c>
      <c r="C46" s="66">
        <v>2369.0</v>
      </c>
      <c r="D46" s="66">
        <v>2.0</v>
      </c>
      <c r="E46" s="66">
        <v>0.352</v>
      </c>
      <c r="F46" s="66">
        <v>3.0</v>
      </c>
    </row>
    <row r="47">
      <c r="A47" s="82">
        <v>44635.0</v>
      </c>
      <c r="B47" s="66">
        <v>2367.0</v>
      </c>
      <c r="C47" s="66">
        <v>2367.0</v>
      </c>
      <c r="D47" s="66">
        <v>6.0</v>
      </c>
      <c r="E47" s="66">
        <v>0.012</v>
      </c>
      <c r="F47" s="66">
        <v>3.0</v>
      </c>
    </row>
    <row r="48">
      <c r="A48" s="82">
        <v>44635.0</v>
      </c>
      <c r="B48" s="66">
        <v>2347.0</v>
      </c>
      <c r="C48" s="66">
        <v>2347.0</v>
      </c>
      <c r="D48" s="66">
        <v>2.0</v>
      </c>
      <c r="E48" s="66">
        <v>0.022</v>
      </c>
      <c r="F48" s="66">
        <v>3.0</v>
      </c>
    </row>
    <row r="49">
      <c r="A49" s="82">
        <v>44635.0</v>
      </c>
      <c r="B49" s="66">
        <v>2343.0</v>
      </c>
      <c r="C49" s="66">
        <v>2343.0</v>
      </c>
      <c r="D49" s="66">
        <v>1.0</v>
      </c>
      <c r="E49" s="66">
        <v>0.281</v>
      </c>
      <c r="F49" s="66">
        <v>3.0</v>
      </c>
    </row>
    <row r="50">
      <c r="A50" s="82">
        <v>44635.0</v>
      </c>
      <c r="B50" s="66">
        <v>2369.0</v>
      </c>
      <c r="C50" s="66">
        <v>2369.0</v>
      </c>
      <c r="D50" s="66">
        <v>5.0</v>
      </c>
      <c r="E50" s="66">
        <v>0.536</v>
      </c>
      <c r="F50" s="66">
        <v>3.0</v>
      </c>
    </row>
    <row r="51">
      <c r="A51" s="82">
        <v>44635.0</v>
      </c>
      <c r="B51" s="66">
        <v>2347.0</v>
      </c>
      <c r="C51" s="66">
        <v>2347.0</v>
      </c>
      <c r="D51" s="66">
        <v>3.0</v>
      </c>
      <c r="E51" s="66">
        <v>0.034</v>
      </c>
      <c r="F51" s="66">
        <v>3.0</v>
      </c>
    </row>
    <row r="52">
      <c r="A52" s="82">
        <v>44635.0</v>
      </c>
      <c r="B52" s="66">
        <v>2347.0</v>
      </c>
      <c r="C52" s="66">
        <v>2347.0</v>
      </c>
      <c r="D52" s="66">
        <v>1.0</v>
      </c>
      <c r="E52" s="66">
        <v>0.035</v>
      </c>
      <c r="F52" s="66">
        <v>3.0</v>
      </c>
    </row>
    <row r="53">
      <c r="A53" s="82">
        <v>44635.0</v>
      </c>
      <c r="B53" s="66">
        <v>2367.0</v>
      </c>
      <c r="C53" s="66">
        <v>2367.0</v>
      </c>
      <c r="D53" s="66">
        <v>5.0</v>
      </c>
      <c r="E53" s="66">
        <v>0.011</v>
      </c>
      <c r="F53" s="66">
        <v>3.0</v>
      </c>
    </row>
    <row r="54">
      <c r="A54" s="82">
        <v>44635.0</v>
      </c>
      <c r="B54" s="66">
        <v>2369.0</v>
      </c>
      <c r="C54" s="66">
        <v>2369.0</v>
      </c>
      <c r="D54" s="66">
        <v>4.0</v>
      </c>
      <c r="E54" s="66">
        <v>0.136</v>
      </c>
      <c r="F54" s="66">
        <v>3.0</v>
      </c>
    </row>
    <row r="55">
      <c r="A55" s="82">
        <v>44635.0</v>
      </c>
      <c r="B55" s="66">
        <v>2367.0</v>
      </c>
      <c r="C55" s="66">
        <v>2367.0</v>
      </c>
      <c r="D55" s="66">
        <v>3.0</v>
      </c>
      <c r="E55" s="66">
        <v>0.094</v>
      </c>
      <c r="F55" s="66">
        <v>3.0</v>
      </c>
    </row>
    <row r="56">
      <c r="A56" s="82">
        <v>44635.0</v>
      </c>
      <c r="B56" s="66">
        <v>2346.0</v>
      </c>
      <c r="C56" s="66">
        <v>2346.0</v>
      </c>
      <c r="D56" s="66">
        <v>1.0</v>
      </c>
      <c r="E56" s="66">
        <v>0.183</v>
      </c>
      <c r="F56" s="66">
        <v>3.0</v>
      </c>
    </row>
    <row r="57">
      <c r="A57" s="82">
        <v>44635.0</v>
      </c>
      <c r="B57" s="66">
        <v>2367.0</v>
      </c>
      <c r="C57" s="66">
        <v>2367.0</v>
      </c>
      <c r="D57" s="66">
        <v>1.0</v>
      </c>
      <c r="E57" s="66">
        <v>0.018</v>
      </c>
      <c r="F57" s="66">
        <v>3.0</v>
      </c>
    </row>
    <row r="58">
      <c r="A58" s="82">
        <v>44635.0</v>
      </c>
      <c r="B58" s="66">
        <v>2346.0</v>
      </c>
      <c r="C58" s="66">
        <v>2346.0</v>
      </c>
      <c r="D58" s="66">
        <v>5.0</v>
      </c>
      <c r="E58" s="66">
        <v>0.02</v>
      </c>
      <c r="F58" s="66">
        <v>3.0</v>
      </c>
    </row>
    <row r="59">
      <c r="A59" s="82">
        <v>44635.0</v>
      </c>
      <c r="B59" s="66">
        <v>2367.0</v>
      </c>
      <c r="C59" s="66">
        <v>2367.0</v>
      </c>
      <c r="D59" s="66">
        <v>4.0</v>
      </c>
      <c r="E59" s="66">
        <v>0.019</v>
      </c>
      <c r="F59" s="66">
        <v>3.0</v>
      </c>
    </row>
    <row r="60">
      <c r="A60" s="82">
        <v>44635.0</v>
      </c>
      <c r="B60" s="66">
        <v>2369.0</v>
      </c>
      <c r="C60" s="66">
        <v>2369.0</v>
      </c>
      <c r="D60" s="66">
        <v>1.0</v>
      </c>
      <c r="E60" s="66">
        <v>0.272</v>
      </c>
      <c r="F60" s="66">
        <v>3.0</v>
      </c>
    </row>
    <row r="61">
      <c r="A61" s="82">
        <v>44647.0</v>
      </c>
      <c r="B61" s="66">
        <v>2343.6</v>
      </c>
      <c r="C61" s="66">
        <v>2343.0</v>
      </c>
      <c r="D61" s="66">
        <v>6.0</v>
      </c>
      <c r="E61" s="66">
        <v>0.515</v>
      </c>
      <c r="F61" s="66">
        <v>3.0</v>
      </c>
    </row>
    <row r="62">
      <c r="A62" s="82">
        <v>44647.0</v>
      </c>
      <c r="B62" s="66">
        <v>2365.7</v>
      </c>
      <c r="C62" s="66">
        <v>2365.0</v>
      </c>
      <c r="D62" s="66">
        <v>7.0</v>
      </c>
      <c r="E62" s="66">
        <v>0.481</v>
      </c>
    </row>
    <row r="63">
      <c r="A63" s="82">
        <v>44647.0</v>
      </c>
      <c r="B63" s="66">
        <v>2347.1</v>
      </c>
      <c r="C63" s="66">
        <v>2347.0</v>
      </c>
      <c r="D63" s="66">
        <v>1.0</v>
      </c>
      <c r="E63" s="66">
        <v>0.118</v>
      </c>
    </row>
    <row r="64">
      <c r="A64" s="82">
        <v>44647.0</v>
      </c>
      <c r="B64" s="66">
        <v>2343.3</v>
      </c>
      <c r="C64" s="66">
        <v>2343.0</v>
      </c>
      <c r="D64" s="66">
        <v>3.0</v>
      </c>
      <c r="E64" s="66">
        <v>0.729</v>
      </c>
    </row>
    <row r="65">
      <c r="A65" s="82">
        <v>44647.0</v>
      </c>
      <c r="B65" s="66">
        <v>2347.2</v>
      </c>
      <c r="C65" s="66">
        <v>2347.0</v>
      </c>
      <c r="D65" s="66">
        <v>2.0</v>
      </c>
      <c r="E65" s="66">
        <v>0.297</v>
      </c>
    </row>
    <row r="66">
      <c r="A66" s="82">
        <v>44647.0</v>
      </c>
      <c r="B66" s="66">
        <v>2367.5</v>
      </c>
      <c r="C66" s="66">
        <v>2367.0</v>
      </c>
      <c r="D66" s="66">
        <v>5.0</v>
      </c>
      <c r="E66" s="66">
        <v>0.14</v>
      </c>
    </row>
    <row r="67">
      <c r="A67" s="82">
        <v>44647.0</v>
      </c>
      <c r="B67" s="66">
        <v>2365.1</v>
      </c>
      <c r="C67" s="66">
        <v>2365.0</v>
      </c>
      <c r="D67" s="66">
        <v>1.0</v>
      </c>
      <c r="E67" s="66">
        <v>1.026</v>
      </c>
    </row>
    <row r="68">
      <c r="A68" s="82">
        <v>44647.0</v>
      </c>
      <c r="B68" s="66">
        <v>2369.1</v>
      </c>
      <c r="C68" s="66">
        <v>2369.0</v>
      </c>
      <c r="D68" s="66">
        <v>1.0</v>
      </c>
      <c r="E68" s="66">
        <v>1.155</v>
      </c>
    </row>
    <row r="69">
      <c r="A69" s="82">
        <v>44647.0</v>
      </c>
      <c r="B69" s="66">
        <v>2346.3</v>
      </c>
      <c r="C69" s="66">
        <v>2346.0</v>
      </c>
      <c r="D69" s="66">
        <v>3.0</v>
      </c>
      <c r="E69" s="66">
        <v>0.704</v>
      </c>
    </row>
    <row r="70">
      <c r="A70" s="82">
        <v>44647.0</v>
      </c>
      <c r="B70" s="66">
        <v>2343.5</v>
      </c>
      <c r="C70" s="66">
        <v>2343.0</v>
      </c>
      <c r="D70" s="66">
        <v>5.0</v>
      </c>
      <c r="E70" s="66">
        <v>0.378</v>
      </c>
    </row>
    <row r="71">
      <c r="A71" s="82">
        <v>44647.0</v>
      </c>
      <c r="B71" s="66">
        <v>2365.3</v>
      </c>
      <c r="C71" s="66">
        <v>2365.0</v>
      </c>
      <c r="D71" s="66">
        <v>3.0</v>
      </c>
      <c r="E71" s="66">
        <v>0.391</v>
      </c>
    </row>
    <row r="72">
      <c r="A72" s="82">
        <v>44647.0</v>
      </c>
      <c r="B72" s="66">
        <v>2346.4</v>
      </c>
      <c r="C72" s="66">
        <v>2346.0</v>
      </c>
      <c r="D72" s="66">
        <v>4.0</v>
      </c>
      <c r="E72" s="66">
        <v>0.167</v>
      </c>
    </row>
    <row r="73">
      <c r="A73" s="82">
        <v>44647.0</v>
      </c>
      <c r="B73" s="66">
        <v>2369.2</v>
      </c>
      <c r="C73" s="66">
        <v>2369.0</v>
      </c>
      <c r="D73" s="66">
        <v>2.0</v>
      </c>
      <c r="E73" s="66">
        <v>1.314</v>
      </c>
    </row>
    <row r="74">
      <c r="A74" s="82">
        <v>44647.0</v>
      </c>
      <c r="B74" s="66">
        <v>2347.5</v>
      </c>
      <c r="C74" s="66">
        <v>2347.0</v>
      </c>
      <c r="D74" s="66">
        <v>5.0</v>
      </c>
      <c r="E74" s="66">
        <v>0.323</v>
      </c>
    </row>
    <row r="75">
      <c r="A75" s="82">
        <v>44647.0</v>
      </c>
      <c r="B75" s="66">
        <v>2367.7</v>
      </c>
      <c r="C75" s="66">
        <v>2367.0</v>
      </c>
      <c r="D75" s="66">
        <v>7.0</v>
      </c>
      <c r="E75" s="66">
        <v>0.374</v>
      </c>
    </row>
    <row r="76">
      <c r="A76" s="82">
        <v>44647.0</v>
      </c>
      <c r="B76" s="66">
        <v>2369.8</v>
      </c>
      <c r="C76" s="66">
        <v>2369.0</v>
      </c>
      <c r="D76" s="66">
        <v>8.0</v>
      </c>
      <c r="E76" s="66">
        <v>0.22</v>
      </c>
    </row>
    <row r="77">
      <c r="A77" s="82">
        <v>44647.0</v>
      </c>
      <c r="B77" s="66">
        <v>2369.6</v>
      </c>
      <c r="C77" s="66">
        <v>2369.0</v>
      </c>
      <c r="D77" s="66">
        <v>6.0</v>
      </c>
      <c r="E77" s="66">
        <v>0.778</v>
      </c>
    </row>
    <row r="78">
      <c r="A78" s="82">
        <v>44647.0</v>
      </c>
      <c r="B78" s="66">
        <v>2369.7</v>
      </c>
      <c r="C78" s="66">
        <v>2369.0</v>
      </c>
      <c r="D78" s="66">
        <v>7.0</v>
      </c>
      <c r="E78" s="66">
        <v>0.481</v>
      </c>
    </row>
    <row r="79">
      <c r="A79" s="82">
        <v>44647.0</v>
      </c>
      <c r="B79" s="66">
        <v>2346.1</v>
      </c>
      <c r="C79" s="66">
        <v>2346.0</v>
      </c>
      <c r="D79" s="66">
        <v>1.0</v>
      </c>
      <c r="E79" s="66">
        <v>0.51</v>
      </c>
    </row>
    <row r="80">
      <c r="A80" s="82">
        <v>44647.0</v>
      </c>
      <c r="B80" s="66">
        <v>2367.6</v>
      </c>
      <c r="C80" s="66">
        <v>2367.0</v>
      </c>
      <c r="D80" s="66">
        <v>6.0</v>
      </c>
      <c r="E80" s="66">
        <v>0.118</v>
      </c>
    </row>
    <row r="81">
      <c r="A81" s="82">
        <v>44647.0</v>
      </c>
      <c r="B81" s="66">
        <v>2369.1</v>
      </c>
      <c r="C81" s="66">
        <v>2369.0</v>
      </c>
      <c r="D81" s="66">
        <v>1.0</v>
      </c>
      <c r="E81" s="66">
        <v>0.053</v>
      </c>
    </row>
    <row r="82">
      <c r="A82" s="82">
        <v>44647.0</v>
      </c>
      <c r="B82" s="66">
        <v>2347.4</v>
      </c>
      <c r="C82" s="66">
        <v>2347.0</v>
      </c>
      <c r="D82" s="66">
        <v>4.0</v>
      </c>
      <c r="E82" s="66">
        <v>0.127</v>
      </c>
    </row>
    <row r="83">
      <c r="A83" s="82">
        <v>44647.0</v>
      </c>
      <c r="B83" s="66">
        <v>2343.2</v>
      </c>
      <c r="C83" s="66">
        <v>2343.0</v>
      </c>
      <c r="D83" s="66">
        <v>2.0</v>
      </c>
      <c r="E83" s="66">
        <v>0.823</v>
      </c>
    </row>
    <row r="84">
      <c r="A84" s="82">
        <v>44647.0</v>
      </c>
      <c r="B84" s="66">
        <v>2369.5</v>
      </c>
      <c r="C84" s="66">
        <v>2369.0</v>
      </c>
      <c r="D84" s="66">
        <v>5.0</v>
      </c>
      <c r="E84" s="66">
        <v>0.389</v>
      </c>
    </row>
    <row r="85">
      <c r="A85" s="82">
        <v>44647.0</v>
      </c>
      <c r="B85" s="66">
        <v>2369.9</v>
      </c>
      <c r="C85" s="66">
        <v>2369.0</v>
      </c>
      <c r="D85" s="66">
        <v>9.0</v>
      </c>
      <c r="E85" s="66">
        <v>0.64</v>
      </c>
    </row>
    <row r="86">
      <c r="A86" s="82">
        <v>44647.0</v>
      </c>
      <c r="B86" s="66">
        <v>2365.6</v>
      </c>
      <c r="C86" s="66">
        <v>2365.0</v>
      </c>
      <c r="D86" s="66">
        <v>6.0</v>
      </c>
      <c r="E86" s="66">
        <v>0.387</v>
      </c>
    </row>
    <row r="87">
      <c r="A87" s="82">
        <v>44647.0</v>
      </c>
      <c r="B87" s="66">
        <v>2369.5</v>
      </c>
      <c r="C87" s="66">
        <v>2369.0</v>
      </c>
      <c r="D87" s="66">
        <v>5.0</v>
      </c>
      <c r="E87" s="66">
        <v>0.671</v>
      </c>
    </row>
    <row r="88">
      <c r="A88" s="82">
        <v>44647.0</v>
      </c>
      <c r="B88" s="66">
        <v>2365.5</v>
      </c>
      <c r="C88" s="66">
        <v>2365.0</v>
      </c>
      <c r="D88" s="66">
        <v>5.0</v>
      </c>
      <c r="E88" s="66">
        <v>0.376</v>
      </c>
    </row>
    <row r="89">
      <c r="A89" s="82">
        <v>44647.0</v>
      </c>
      <c r="B89" s="66">
        <v>2346.2</v>
      </c>
      <c r="C89" s="66">
        <v>2346.0</v>
      </c>
      <c r="D89" s="66">
        <v>2.0</v>
      </c>
      <c r="E89" s="66">
        <v>1.765</v>
      </c>
    </row>
    <row r="90">
      <c r="A90" s="82">
        <v>44647.0</v>
      </c>
      <c r="B90" s="66">
        <v>2343.4</v>
      </c>
      <c r="C90" s="66">
        <v>2343.0</v>
      </c>
      <c r="D90" s="66">
        <v>4.0</v>
      </c>
      <c r="E90" s="66">
        <v>0.406</v>
      </c>
    </row>
    <row r="91">
      <c r="A91" s="82">
        <v>44647.0</v>
      </c>
      <c r="B91" s="66">
        <v>2367.4</v>
      </c>
      <c r="C91" s="66">
        <v>2367.0</v>
      </c>
      <c r="D91" s="66">
        <v>4.0</v>
      </c>
      <c r="E91" s="66">
        <v>0.152</v>
      </c>
    </row>
    <row r="92">
      <c r="A92" s="82">
        <v>44647.0</v>
      </c>
      <c r="B92" s="66">
        <v>2346.7</v>
      </c>
      <c r="C92" s="66">
        <v>2346.0</v>
      </c>
      <c r="D92" s="66">
        <v>7.0</v>
      </c>
      <c r="E92" s="66">
        <v>0.294</v>
      </c>
    </row>
    <row r="93">
      <c r="A93" s="82">
        <v>44647.0</v>
      </c>
      <c r="B93" s="66">
        <v>2369.3</v>
      </c>
      <c r="C93" s="66">
        <v>2369.0</v>
      </c>
      <c r="D93" s="66">
        <v>3.0</v>
      </c>
      <c r="E93" s="66">
        <v>0.216</v>
      </c>
    </row>
    <row r="94">
      <c r="A94" s="82">
        <v>44647.0</v>
      </c>
      <c r="B94" s="66">
        <v>2367.3</v>
      </c>
      <c r="C94" s="66">
        <v>2367.0</v>
      </c>
      <c r="D94" s="66">
        <v>3.0</v>
      </c>
      <c r="E94" s="66">
        <v>0.633</v>
      </c>
    </row>
    <row r="95">
      <c r="A95" s="82">
        <v>44647.0</v>
      </c>
      <c r="B95" s="66">
        <v>2347.6</v>
      </c>
      <c r="C95" s="66">
        <v>2347.0</v>
      </c>
      <c r="D95" s="66">
        <v>6.0</v>
      </c>
      <c r="E95" s="66">
        <v>0.259</v>
      </c>
    </row>
    <row r="96">
      <c r="A96" s="82">
        <v>44647.0</v>
      </c>
      <c r="B96" s="66">
        <v>2343.1</v>
      </c>
      <c r="C96" s="66">
        <v>2343.0</v>
      </c>
      <c r="D96" s="66">
        <v>1.0</v>
      </c>
      <c r="E96" s="66">
        <v>0.741</v>
      </c>
    </row>
    <row r="97">
      <c r="A97" s="82">
        <v>44647.0</v>
      </c>
      <c r="B97" s="66">
        <v>2346.5</v>
      </c>
      <c r="C97" s="66">
        <v>2346.0</v>
      </c>
      <c r="D97" s="66">
        <v>5.0</v>
      </c>
      <c r="E97" s="66">
        <v>0.243</v>
      </c>
    </row>
    <row r="98">
      <c r="A98" s="82">
        <v>44647.0</v>
      </c>
      <c r="B98" s="66">
        <v>2365.2</v>
      </c>
      <c r="C98" s="66">
        <v>2365.0</v>
      </c>
      <c r="D98" s="66">
        <v>2.0</v>
      </c>
      <c r="E98" s="66">
        <v>0.548</v>
      </c>
    </row>
    <row r="99">
      <c r="A99" s="82">
        <v>44647.0</v>
      </c>
      <c r="B99" s="66">
        <v>2369.6</v>
      </c>
      <c r="C99" s="66">
        <v>2369.0</v>
      </c>
      <c r="D99" s="66">
        <v>6.0</v>
      </c>
      <c r="E99" s="66">
        <v>0.223</v>
      </c>
    </row>
    <row r="100">
      <c r="A100" s="82">
        <v>44647.0</v>
      </c>
      <c r="B100" s="66">
        <v>2365.8</v>
      </c>
      <c r="C100" s="66">
        <v>2365.0</v>
      </c>
      <c r="D100" s="66">
        <v>8.0</v>
      </c>
      <c r="E100" s="66">
        <v>0.291</v>
      </c>
    </row>
    <row r="101">
      <c r="A101" s="82">
        <v>44647.0</v>
      </c>
      <c r="B101" s="66">
        <v>2369.4</v>
      </c>
      <c r="C101" s="66">
        <v>2369.0</v>
      </c>
      <c r="D101" s="66">
        <v>4.0</v>
      </c>
      <c r="E101" s="66">
        <v>0.578</v>
      </c>
    </row>
    <row r="102">
      <c r="A102" s="82">
        <v>44647.0</v>
      </c>
      <c r="B102" s="66">
        <v>2347.3</v>
      </c>
      <c r="C102" s="66">
        <v>2347.0</v>
      </c>
      <c r="D102" s="66">
        <v>3.0</v>
      </c>
      <c r="E102" s="66">
        <v>0.127</v>
      </c>
    </row>
    <row r="103">
      <c r="A103" s="82">
        <v>44647.0</v>
      </c>
      <c r="B103" s="66">
        <v>2365.4</v>
      </c>
      <c r="C103" s="66">
        <v>2365.0</v>
      </c>
      <c r="D103" s="66">
        <v>4.0</v>
      </c>
      <c r="E103" s="66">
        <v>0.371</v>
      </c>
    </row>
    <row r="104">
      <c r="A104" s="82">
        <v>44647.0</v>
      </c>
      <c r="B104" s="66">
        <v>2346.6</v>
      </c>
      <c r="C104" s="66">
        <v>2346.0</v>
      </c>
      <c r="D104" s="66">
        <v>6.0</v>
      </c>
      <c r="E104" s="66">
        <v>0.689</v>
      </c>
    </row>
    <row r="105">
      <c r="A105" s="82">
        <v>44647.0</v>
      </c>
      <c r="B105" s="66">
        <v>2365.9</v>
      </c>
      <c r="C105" s="66">
        <v>2365.0</v>
      </c>
      <c r="D105" s="66">
        <v>9.0</v>
      </c>
      <c r="E105" s="66">
        <v>0.317</v>
      </c>
    </row>
    <row r="106">
      <c r="A106" s="82">
        <v>44663.0</v>
      </c>
      <c r="B106" s="66">
        <v>2369.3</v>
      </c>
      <c r="C106" s="66">
        <v>2369.0</v>
      </c>
      <c r="D106" s="66">
        <v>3.0</v>
      </c>
      <c r="E106" s="66">
        <v>0.46</v>
      </c>
    </row>
    <row r="107">
      <c r="A107" s="82">
        <v>44663.0</v>
      </c>
      <c r="B107" s="66">
        <v>2369.4</v>
      </c>
      <c r="C107" s="66">
        <v>2369.0</v>
      </c>
      <c r="D107" s="66">
        <v>4.0</v>
      </c>
      <c r="E107" s="66">
        <v>0.687</v>
      </c>
    </row>
    <row r="108">
      <c r="A108" s="82">
        <v>44663.0</v>
      </c>
      <c r="B108" s="66">
        <v>2347.5</v>
      </c>
      <c r="C108" s="66">
        <v>2347.0</v>
      </c>
      <c r="D108" s="66">
        <v>5.0</v>
      </c>
      <c r="E108" s="66">
        <v>0.2</v>
      </c>
    </row>
    <row r="109">
      <c r="A109" s="82">
        <v>44663.0</v>
      </c>
      <c r="B109" s="66">
        <v>2343.3</v>
      </c>
      <c r="C109" s="66">
        <v>2343.0</v>
      </c>
      <c r="D109" s="66">
        <v>3.0</v>
      </c>
      <c r="E109" s="66">
        <v>0.76</v>
      </c>
    </row>
    <row r="110">
      <c r="A110" s="82">
        <v>44663.0</v>
      </c>
      <c r="B110" s="66">
        <v>2343.4</v>
      </c>
      <c r="C110" s="66">
        <v>2343.0</v>
      </c>
      <c r="D110" s="66">
        <v>4.0</v>
      </c>
      <c r="E110" s="66">
        <v>0.628</v>
      </c>
    </row>
    <row r="111">
      <c r="A111" s="82">
        <v>44663.0</v>
      </c>
      <c r="B111" s="66">
        <v>2343.6</v>
      </c>
      <c r="C111" s="66">
        <v>2343.0</v>
      </c>
      <c r="D111" s="66">
        <v>6.0</v>
      </c>
      <c r="E111" s="66">
        <v>0.232</v>
      </c>
    </row>
    <row r="112">
      <c r="A112" s="82">
        <v>44663.0</v>
      </c>
      <c r="B112" s="66">
        <v>2369.2</v>
      </c>
      <c r="C112" s="66">
        <v>2369.0</v>
      </c>
      <c r="D112" s="66">
        <v>2.0</v>
      </c>
      <c r="E112" s="66">
        <v>0.873</v>
      </c>
    </row>
    <row r="113">
      <c r="A113" s="82">
        <v>44663.0</v>
      </c>
      <c r="B113" s="66">
        <v>2347.1</v>
      </c>
      <c r="C113" s="66">
        <v>2347.0</v>
      </c>
      <c r="D113" s="66">
        <v>1.0</v>
      </c>
      <c r="E113" s="66">
        <v>0.306</v>
      </c>
    </row>
    <row r="114">
      <c r="A114" s="82">
        <v>44663.0</v>
      </c>
      <c r="B114" s="66">
        <v>2343.5</v>
      </c>
      <c r="C114" s="66">
        <v>2343.0</v>
      </c>
      <c r="D114" s="66">
        <v>5.0</v>
      </c>
      <c r="E114" s="66">
        <v>0.524</v>
      </c>
    </row>
    <row r="115">
      <c r="A115" s="82">
        <v>44663.0</v>
      </c>
      <c r="B115" s="66">
        <v>2367.4</v>
      </c>
      <c r="C115" s="66">
        <v>2367.0</v>
      </c>
      <c r="D115" s="66">
        <v>4.0</v>
      </c>
      <c r="E115" s="66">
        <v>0.217</v>
      </c>
    </row>
    <row r="116">
      <c r="A116" s="82">
        <v>44663.0</v>
      </c>
      <c r="B116" s="66">
        <v>2365.3</v>
      </c>
      <c r="C116" s="66">
        <v>2365.0</v>
      </c>
      <c r="D116" s="66">
        <v>3.0</v>
      </c>
      <c r="E116" s="66">
        <v>0.123</v>
      </c>
    </row>
    <row r="117">
      <c r="A117" s="82">
        <v>44663.0</v>
      </c>
      <c r="B117" s="66">
        <v>2365.5</v>
      </c>
      <c r="C117" s="66">
        <v>2365.0</v>
      </c>
      <c r="D117" s="66">
        <v>5.0</v>
      </c>
      <c r="E117" s="66">
        <v>0.253</v>
      </c>
    </row>
    <row r="118">
      <c r="A118" s="82">
        <v>44663.0</v>
      </c>
      <c r="B118" s="66">
        <v>2347.3</v>
      </c>
      <c r="C118" s="66">
        <v>2347.0</v>
      </c>
      <c r="D118" s="66">
        <v>3.0</v>
      </c>
      <c r="E118" s="66">
        <v>0.178</v>
      </c>
    </row>
    <row r="119">
      <c r="A119" s="82">
        <v>44663.0</v>
      </c>
      <c r="B119" s="66">
        <v>2365.6</v>
      </c>
      <c r="C119" s="66">
        <v>2365.0</v>
      </c>
      <c r="D119" s="66">
        <v>6.0</v>
      </c>
      <c r="E119" s="66">
        <v>0.353</v>
      </c>
    </row>
    <row r="120">
      <c r="A120" s="82">
        <v>44663.0</v>
      </c>
      <c r="B120" s="66">
        <v>2346.5</v>
      </c>
      <c r="C120" s="66">
        <v>2346.0</v>
      </c>
      <c r="D120" s="66">
        <v>5.0</v>
      </c>
      <c r="E120" s="66">
        <v>0.253</v>
      </c>
    </row>
    <row r="121">
      <c r="A121" s="82">
        <v>44663.0</v>
      </c>
      <c r="B121" s="66">
        <v>2346.4</v>
      </c>
      <c r="C121" s="66">
        <v>2346.0</v>
      </c>
      <c r="D121" s="66">
        <v>4.0</v>
      </c>
      <c r="E121" s="66">
        <v>0.364</v>
      </c>
    </row>
    <row r="122">
      <c r="A122" s="82">
        <v>44663.0</v>
      </c>
      <c r="B122" s="66">
        <v>2365.2</v>
      </c>
      <c r="C122" s="66">
        <v>2365.0</v>
      </c>
      <c r="D122" s="66">
        <v>2.0</v>
      </c>
      <c r="E122" s="66">
        <v>0.438</v>
      </c>
    </row>
    <row r="123">
      <c r="A123" s="82">
        <v>44663.0</v>
      </c>
      <c r="B123" s="66">
        <v>2369.5</v>
      </c>
      <c r="C123" s="66">
        <v>2369.0</v>
      </c>
      <c r="D123" s="66">
        <v>5.0</v>
      </c>
      <c r="E123" s="66">
        <v>0.372</v>
      </c>
    </row>
    <row r="124">
      <c r="A124" s="82">
        <v>44663.0</v>
      </c>
      <c r="B124" s="66">
        <v>2367.2</v>
      </c>
      <c r="C124" s="66">
        <v>2367.0</v>
      </c>
      <c r="D124" s="66">
        <v>2.0</v>
      </c>
      <c r="E124" s="66">
        <v>0.239</v>
      </c>
    </row>
    <row r="125">
      <c r="A125" s="82">
        <v>44663.0</v>
      </c>
      <c r="B125" s="66">
        <v>2347.4</v>
      </c>
      <c r="C125" s="66">
        <v>2347.0</v>
      </c>
      <c r="D125" s="66">
        <v>4.0</v>
      </c>
      <c r="E125" s="66">
        <v>0.241</v>
      </c>
    </row>
    <row r="126">
      <c r="A126" s="82">
        <v>44663.0</v>
      </c>
      <c r="B126" s="66">
        <v>2346.2</v>
      </c>
      <c r="C126" s="66">
        <v>2346.0</v>
      </c>
      <c r="D126" s="66">
        <v>2.0</v>
      </c>
      <c r="E126" s="66">
        <v>0.514</v>
      </c>
    </row>
    <row r="127">
      <c r="A127" s="82">
        <v>44663.0</v>
      </c>
      <c r="B127" s="66">
        <v>2367.6</v>
      </c>
      <c r="C127" s="66">
        <v>2367.0</v>
      </c>
      <c r="D127" s="66">
        <v>6.0</v>
      </c>
      <c r="E127" s="66">
        <v>0.042</v>
      </c>
    </row>
    <row r="128">
      <c r="A128" s="82">
        <v>44663.0</v>
      </c>
      <c r="B128" s="66">
        <v>2346.3</v>
      </c>
      <c r="C128" s="66">
        <v>2346.0</v>
      </c>
      <c r="D128" s="66">
        <v>3.0</v>
      </c>
      <c r="E128" s="66">
        <v>0.322</v>
      </c>
    </row>
    <row r="129">
      <c r="A129" s="82">
        <v>44663.0</v>
      </c>
      <c r="B129" s="66">
        <v>2365.1</v>
      </c>
      <c r="C129" s="66">
        <v>2365.0</v>
      </c>
      <c r="D129" s="66">
        <v>1.0</v>
      </c>
      <c r="E129" s="66">
        <v>0.386</v>
      </c>
    </row>
    <row r="130">
      <c r="A130" s="82">
        <v>44663.0</v>
      </c>
      <c r="B130" s="66">
        <v>2343.1</v>
      </c>
      <c r="C130" s="66">
        <v>2343.0</v>
      </c>
      <c r="D130" s="66">
        <v>1.0</v>
      </c>
      <c r="E130" s="66">
        <v>0.914</v>
      </c>
    </row>
    <row r="131">
      <c r="A131" s="82">
        <v>44663.0</v>
      </c>
      <c r="B131" s="66">
        <v>2347.2</v>
      </c>
      <c r="C131" s="66">
        <v>2347.0</v>
      </c>
      <c r="D131" s="66">
        <v>2.0</v>
      </c>
      <c r="E131" s="66">
        <v>0.224</v>
      </c>
    </row>
    <row r="132">
      <c r="A132" s="82">
        <v>44663.0</v>
      </c>
      <c r="B132" s="66">
        <v>2367.4</v>
      </c>
      <c r="C132" s="66">
        <v>2367.0</v>
      </c>
      <c r="D132" s="66">
        <v>4.0</v>
      </c>
      <c r="E132" s="66">
        <v>0.166</v>
      </c>
    </row>
    <row r="133">
      <c r="A133" s="82">
        <v>44663.0</v>
      </c>
      <c r="B133" s="66">
        <v>2369.6</v>
      </c>
      <c r="C133" s="66">
        <v>2369.0</v>
      </c>
      <c r="D133" s="66">
        <v>6.0</v>
      </c>
      <c r="E133" s="66">
        <v>0.538</v>
      </c>
    </row>
    <row r="134">
      <c r="A134" s="82">
        <v>44663.0</v>
      </c>
      <c r="B134" s="66">
        <v>2367.1</v>
      </c>
      <c r="C134" s="66">
        <v>2367.0</v>
      </c>
      <c r="D134" s="66">
        <v>1.0</v>
      </c>
      <c r="E134" s="66">
        <v>0.34</v>
      </c>
    </row>
    <row r="135">
      <c r="A135" s="82">
        <v>44663.0</v>
      </c>
      <c r="B135" s="66">
        <v>2346.6</v>
      </c>
      <c r="C135" s="66">
        <v>2346.0</v>
      </c>
      <c r="D135" s="66">
        <v>6.0</v>
      </c>
      <c r="E135" s="66">
        <v>0.086</v>
      </c>
    </row>
    <row r="136">
      <c r="A136" s="82">
        <v>44663.0</v>
      </c>
      <c r="B136" s="66">
        <v>2365.4</v>
      </c>
      <c r="C136" s="66">
        <v>2365.0</v>
      </c>
      <c r="D136" s="66">
        <v>4.0</v>
      </c>
      <c r="E136" s="66">
        <v>0.261</v>
      </c>
    </row>
    <row r="137">
      <c r="A137" s="82">
        <v>44663.0</v>
      </c>
      <c r="B137" s="66">
        <v>2367.5</v>
      </c>
      <c r="C137" s="66">
        <v>2367.0</v>
      </c>
      <c r="D137" s="66">
        <v>5.0</v>
      </c>
      <c r="E137" s="66">
        <v>0.071</v>
      </c>
    </row>
    <row r="138">
      <c r="A138" s="82">
        <v>44663.0</v>
      </c>
      <c r="B138" s="66">
        <v>2347.6</v>
      </c>
      <c r="C138" s="66">
        <v>2347.0</v>
      </c>
      <c r="D138" s="66">
        <v>6.0</v>
      </c>
      <c r="E138" s="66">
        <v>0.106</v>
      </c>
    </row>
    <row r="139">
      <c r="A139" s="82">
        <v>44663.0</v>
      </c>
      <c r="B139" s="66">
        <v>2343.2</v>
      </c>
      <c r="C139" s="66">
        <v>2343.0</v>
      </c>
      <c r="D139" s="66">
        <v>2.0</v>
      </c>
      <c r="E139" s="66">
        <v>0.737</v>
      </c>
    </row>
    <row r="140">
      <c r="A140" s="82">
        <v>44663.0</v>
      </c>
      <c r="B140" s="66">
        <v>2369.1</v>
      </c>
      <c r="C140" s="66">
        <v>2369.0</v>
      </c>
      <c r="D140" s="66">
        <v>1.0</v>
      </c>
      <c r="E140" s="66">
        <v>0.444</v>
      </c>
    </row>
    <row r="141">
      <c r="A141" s="82">
        <v>44663.0</v>
      </c>
      <c r="B141" s="66">
        <v>2346.1</v>
      </c>
      <c r="C141" s="66">
        <v>2346.0</v>
      </c>
      <c r="D141" s="66">
        <v>1.0</v>
      </c>
      <c r="E141" s="66">
        <v>0.589</v>
      </c>
    </row>
    <row r="142">
      <c r="A142" s="82">
        <v>44676.0</v>
      </c>
      <c r="B142" s="66">
        <v>2343.2</v>
      </c>
      <c r="C142" s="66">
        <v>2343.0</v>
      </c>
      <c r="D142" s="66">
        <v>2.0</v>
      </c>
      <c r="E142" s="66">
        <v>1.118</v>
      </c>
    </row>
    <row r="143">
      <c r="A143" s="82">
        <v>44676.0</v>
      </c>
      <c r="B143" s="66">
        <v>2346.3</v>
      </c>
      <c r="C143" s="66">
        <v>2346.0</v>
      </c>
      <c r="D143" s="66">
        <v>3.0</v>
      </c>
      <c r="E143" s="66">
        <v>0.358</v>
      </c>
    </row>
    <row r="144">
      <c r="A144" s="82">
        <v>44676.0</v>
      </c>
      <c r="B144" s="66">
        <v>2346.1</v>
      </c>
      <c r="C144" s="66">
        <v>2346.0</v>
      </c>
      <c r="D144" s="66">
        <v>1.0</v>
      </c>
      <c r="E144" s="66">
        <v>0.356</v>
      </c>
    </row>
    <row r="145">
      <c r="A145" s="82">
        <v>44676.0</v>
      </c>
      <c r="B145" s="66">
        <v>2347.1</v>
      </c>
      <c r="C145" s="66">
        <v>2347.0</v>
      </c>
      <c r="D145" s="66">
        <v>1.0</v>
      </c>
      <c r="E145" s="66">
        <v>0.809</v>
      </c>
    </row>
    <row r="146">
      <c r="A146" s="82">
        <v>44676.0</v>
      </c>
      <c r="B146" s="66">
        <v>2346.2</v>
      </c>
      <c r="C146" s="66">
        <v>2346.0</v>
      </c>
      <c r="D146" s="66">
        <v>2.0</v>
      </c>
      <c r="E146" s="66">
        <v>0.29</v>
      </c>
    </row>
    <row r="147">
      <c r="A147" s="82">
        <v>44676.0</v>
      </c>
      <c r="B147" s="66">
        <v>2347.2</v>
      </c>
      <c r="C147" s="66">
        <v>2347.0</v>
      </c>
      <c r="D147" s="66">
        <v>2.0</v>
      </c>
      <c r="E147" s="66">
        <v>0.454</v>
      </c>
    </row>
    <row r="148">
      <c r="A148" s="82">
        <v>44676.0</v>
      </c>
      <c r="B148" s="66">
        <v>2343.1</v>
      </c>
      <c r="C148" s="66">
        <v>2343.0</v>
      </c>
      <c r="D148" s="66">
        <v>1.0</v>
      </c>
      <c r="E148" s="66">
        <v>0.556</v>
      </c>
    </row>
    <row r="149">
      <c r="A149" s="82">
        <v>44676.0</v>
      </c>
      <c r="B149" s="66">
        <v>2347.3</v>
      </c>
      <c r="C149" s="66">
        <v>2347.0</v>
      </c>
      <c r="D149" s="66">
        <v>3.0</v>
      </c>
      <c r="E149" s="66">
        <v>1.699</v>
      </c>
    </row>
    <row r="150">
      <c r="A150" s="82">
        <v>44676.0</v>
      </c>
      <c r="B150" s="66">
        <v>2367.3</v>
      </c>
      <c r="C150" s="66">
        <v>2367.0</v>
      </c>
      <c r="D150" s="66">
        <v>3.0</v>
      </c>
      <c r="E150" s="66">
        <v>0.332</v>
      </c>
    </row>
    <row r="151">
      <c r="A151" s="82">
        <v>44676.0</v>
      </c>
      <c r="B151" s="66">
        <v>2367.2</v>
      </c>
      <c r="C151" s="66">
        <v>2367.0</v>
      </c>
      <c r="D151" s="66">
        <v>2.0</v>
      </c>
      <c r="E151" s="66">
        <v>0.462</v>
      </c>
    </row>
    <row r="152">
      <c r="A152" s="82">
        <v>44676.0</v>
      </c>
      <c r="B152" s="66">
        <v>2367.1</v>
      </c>
      <c r="C152" s="66">
        <v>2367.0</v>
      </c>
      <c r="D152" s="66">
        <v>1.0</v>
      </c>
      <c r="E152" s="66">
        <v>0.291</v>
      </c>
    </row>
    <row r="153">
      <c r="A153" s="82">
        <v>44676.0</v>
      </c>
      <c r="B153" s="66">
        <v>2343.3</v>
      </c>
      <c r="C153" s="66">
        <v>2343.0</v>
      </c>
      <c r="D153" s="66">
        <v>3.0</v>
      </c>
      <c r="E153" s="66">
        <v>1.474</v>
      </c>
    </row>
    <row r="154">
      <c r="A154" s="82">
        <v>44676.0</v>
      </c>
      <c r="B154" s="66">
        <v>2365.7</v>
      </c>
      <c r="C154" s="66">
        <v>2365.0</v>
      </c>
      <c r="D154" s="66">
        <v>7.0</v>
      </c>
      <c r="E154" s="66">
        <v>0.8195</v>
      </c>
    </row>
    <row r="155">
      <c r="A155" s="82">
        <v>44676.0</v>
      </c>
      <c r="B155" s="66">
        <v>2365.1</v>
      </c>
      <c r="C155" s="66">
        <v>2365.0</v>
      </c>
      <c r="D155" s="66">
        <v>1.0</v>
      </c>
      <c r="E155" s="66">
        <v>0.2514</v>
      </c>
    </row>
    <row r="156">
      <c r="A156" s="82">
        <v>44676.0</v>
      </c>
      <c r="B156" s="66">
        <v>2369.5</v>
      </c>
      <c r="C156" s="66">
        <v>2369.0</v>
      </c>
      <c r="D156" s="66">
        <v>5.0</v>
      </c>
      <c r="E156" s="66">
        <v>0.6519</v>
      </c>
    </row>
    <row r="157">
      <c r="A157" s="82">
        <v>44676.0</v>
      </c>
      <c r="B157" s="66">
        <v>2343.4</v>
      </c>
      <c r="C157" s="66">
        <v>2343.0</v>
      </c>
      <c r="D157" s="66">
        <v>4.0</v>
      </c>
      <c r="E157" s="66">
        <v>0.8018</v>
      </c>
    </row>
    <row r="158">
      <c r="A158" s="82">
        <v>44676.0</v>
      </c>
      <c r="B158" s="66">
        <v>2347.5</v>
      </c>
      <c r="C158" s="66">
        <v>2347.0</v>
      </c>
      <c r="D158" s="66">
        <v>5.0</v>
      </c>
      <c r="E158" s="66">
        <v>0.3555</v>
      </c>
    </row>
    <row r="159">
      <c r="A159" s="82">
        <v>44676.0</v>
      </c>
      <c r="B159" s="66">
        <v>2365.3</v>
      </c>
      <c r="C159" s="66">
        <v>2365.0</v>
      </c>
      <c r="D159" s="66">
        <v>3.0</v>
      </c>
      <c r="E159" s="66">
        <v>0.7022</v>
      </c>
    </row>
    <row r="160">
      <c r="A160" s="82">
        <v>44676.0</v>
      </c>
      <c r="B160" s="66">
        <v>2367.5</v>
      </c>
      <c r="C160" s="66">
        <v>2367.0</v>
      </c>
      <c r="D160" s="66">
        <v>5.0</v>
      </c>
      <c r="E160" s="66">
        <v>0.4324</v>
      </c>
    </row>
    <row r="161">
      <c r="A161" s="82">
        <v>44676.0</v>
      </c>
      <c r="B161" s="66">
        <v>2347.6</v>
      </c>
      <c r="C161" s="66">
        <v>2347.0</v>
      </c>
      <c r="D161" s="66">
        <v>6.0</v>
      </c>
      <c r="E161" s="66">
        <v>0.4473</v>
      </c>
    </row>
    <row r="162">
      <c r="A162" s="82">
        <v>44676.0</v>
      </c>
      <c r="B162" s="66">
        <v>2365.4</v>
      </c>
      <c r="C162" s="66">
        <v>2365.0</v>
      </c>
      <c r="D162" s="66">
        <v>4.0</v>
      </c>
      <c r="E162" s="66">
        <v>0.682</v>
      </c>
    </row>
    <row r="163">
      <c r="A163" s="82">
        <v>44676.0</v>
      </c>
      <c r="B163" s="66">
        <v>2365.5</v>
      </c>
      <c r="C163" s="66">
        <v>2365.0</v>
      </c>
      <c r="D163" s="66">
        <v>5.0</v>
      </c>
      <c r="E163" s="66">
        <v>0.8389</v>
      </c>
    </row>
    <row r="164">
      <c r="A164" s="82">
        <v>44676.0</v>
      </c>
      <c r="B164" s="66">
        <v>2365.2</v>
      </c>
      <c r="C164" s="66">
        <v>2365.0</v>
      </c>
      <c r="D164" s="66">
        <v>2.0</v>
      </c>
      <c r="E164" s="66">
        <v>0.2054</v>
      </c>
    </row>
    <row r="165">
      <c r="A165" s="82">
        <v>44676.0</v>
      </c>
      <c r="B165" s="66">
        <v>2365.6</v>
      </c>
      <c r="C165" s="66">
        <v>2365.0</v>
      </c>
      <c r="D165" s="66">
        <v>6.0</v>
      </c>
      <c r="E165" s="66">
        <v>0.4199</v>
      </c>
    </row>
    <row r="166">
      <c r="A166" s="82">
        <v>44676.0</v>
      </c>
      <c r="B166" s="66">
        <v>2367.4</v>
      </c>
      <c r="C166" s="66">
        <v>2367.0</v>
      </c>
      <c r="D166" s="66">
        <v>4.0</v>
      </c>
      <c r="E166" s="66">
        <v>0.1944</v>
      </c>
    </row>
    <row r="167">
      <c r="A167" s="82">
        <v>44676.0</v>
      </c>
      <c r="B167" s="66">
        <v>2365.6</v>
      </c>
      <c r="C167" s="66">
        <v>2365.0</v>
      </c>
      <c r="D167" s="66">
        <v>6.0</v>
      </c>
      <c r="E167" s="66">
        <v>0.03</v>
      </c>
    </row>
    <row r="168">
      <c r="A168" s="82">
        <v>44676.0</v>
      </c>
      <c r="B168" s="66">
        <v>2347.4</v>
      </c>
      <c r="C168" s="66">
        <v>2347.0</v>
      </c>
      <c r="D168" s="66">
        <v>4.0</v>
      </c>
      <c r="E168" s="66">
        <v>0.7183</v>
      </c>
    </row>
    <row r="169">
      <c r="A169" s="82">
        <v>44676.0</v>
      </c>
      <c r="B169" s="66">
        <v>2369.6</v>
      </c>
      <c r="C169" s="66">
        <v>2369.0</v>
      </c>
      <c r="D169" s="66">
        <v>6.0</v>
      </c>
      <c r="E169" s="66">
        <v>0.6764</v>
      </c>
    </row>
    <row r="170">
      <c r="A170" s="82">
        <v>44676.0</v>
      </c>
      <c r="B170" s="66">
        <v>2365.6</v>
      </c>
      <c r="C170" s="66">
        <v>2365.0</v>
      </c>
      <c r="D170" s="66">
        <v>6.0</v>
      </c>
      <c r="E170" s="66">
        <v>0.2964</v>
      </c>
    </row>
    <row r="171">
      <c r="A171" s="82">
        <v>44676.0</v>
      </c>
      <c r="B171" s="66">
        <v>2346.4</v>
      </c>
      <c r="C171" s="66">
        <v>2346.0</v>
      </c>
      <c r="D171" s="66">
        <v>4.0</v>
      </c>
      <c r="E171" s="66">
        <v>0.2532</v>
      </c>
    </row>
    <row r="172">
      <c r="A172" s="82">
        <v>44676.0</v>
      </c>
      <c r="B172" s="66">
        <v>2369.1</v>
      </c>
      <c r="C172" s="66">
        <v>2369.0</v>
      </c>
      <c r="D172" s="66">
        <v>1.0</v>
      </c>
      <c r="E172" s="66">
        <v>0.6543</v>
      </c>
    </row>
    <row r="173">
      <c r="A173" s="82">
        <v>44676.0</v>
      </c>
      <c r="B173" s="66">
        <v>2343.6</v>
      </c>
      <c r="C173" s="66">
        <v>2343.0</v>
      </c>
      <c r="D173" s="66">
        <v>6.0</v>
      </c>
      <c r="E173" s="66">
        <v>1.2201</v>
      </c>
    </row>
    <row r="174">
      <c r="A174" s="82">
        <v>44676.0</v>
      </c>
      <c r="B174" s="66">
        <v>2343.5</v>
      </c>
      <c r="C174" s="66">
        <v>2343.0</v>
      </c>
      <c r="D174" s="66">
        <v>5.0</v>
      </c>
      <c r="E174" s="66">
        <v>1.0589</v>
      </c>
    </row>
    <row r="175">
      <c r="A175" s="82">
        <v>44676.0</v>
      </c>
      <c r="B175" s="66">
        <v>2369.2</v>
      </c>
      <c r="C175" s="66">
        <v>2369.0</v>
      </c>
      <c r="D175" s="66">
        <v>2.0</v>
      </c>
      <c r="E175" s="66">
        <v>0.9091</v>
      </c>
    </row>
    <row r="176">
      <c r="A176" s="82">
        <v>44676.0</v>
      </c>
      <c r="B176" s="66">
        <v>2369.4</v>
      </c>
      <c r="C176" s="66">
        <v>2369.0</v>
      </c>
      <c r="D176" s="66">
        <v>4.0</v>
      </c>
      <c r="E176" s="66">
        <v>0.271</v>
      </c>
    </row>
    <row r="177">
      <c r="A177" s="82">
        <v>44676.0</v>
      </c>
      <c r="B177" s="66">
        <v>2346.6</v>
      </c>
      <c r="C177" s="66">
        <v>2346.0</v>
      </c>
      <c r="D177" s="66">
        <v>6.0</v>
      </c>
      <c r="E177" s="66">
        <v>0.1378</v>
      </c>
    </row>
    <row r="178">
      <c r="A178" s="82">
        <v>44676.0</v>
      </c>
      <c r="B178" s="66">
        <v>2346.5</v>
      </c>
      <c r="C178" s="66">
        <v>2346.0</v>
      </c>
      <c r="D178" s="66">
        <v>5.0</v>
      </c>
      <c r="E178" s="66">
        <v>0.509</v>
      </c>
    </row>
    <row r="179">
      <c r="A179" s="82">
        <v>44676.0</v>
      </c>
      <c r="B179" s="66">
        <v>2369.3</v>
      </c>
      <c r="C179" s="66">
        <v>2369.0</v>
      </c>
      <c r="D179" s="66">
        <v>3.0</v>
      </c>
      <c r="E179" s="66">
        <v>0.1972</v>
      </c>
    </row>
    <row r="180">
      <c r="A180" s="82">
        <v>44704.0</v>
      </c>
      <c r="B180" s="66">
        <v>2369.7</v>
      </c>
      <c r="C180" s="66">
        <v>2369.0</v>
      </c>
      <c r="D180" s="66">
        <v>7.0</v>
      </c>
      <c r="E180" s="66">
        <v>0.3446</v>
      </c>
    </row>
    <row r="181">
      <c r="A181" s="82">
        <v>44704.0</v>
      </c>
      <c r="B181" s="66">
        <v>2369.5</v>
      </c>
      <c r="C181" s="66">
        <v>2369.0</v>
      </c>
      <c r="D181" s="66">
        <v>5.0</v>
      </c>
      <c r="E181" s="66">
        <v>0.4604</v>
      </c>
    </row>
    <row r="182">
      <c r="A182" s="82">
        <v>44704.0</v>
      </c>
      <c r="B182" s="66">
        <v>2343.4</v>
      </c>
      <c r="C182" s="66">
        <v>2343.0</v>
      </c>
      <c r="D182" s="66">
        <v>4.0</v>
      </c>
      <c r="E182" s="66">
        <v>0.8634</v>
      </c>
    </row>
    <row r="183">
      <c r="A183" s="82">
        <v>44704.0</v>
      </c>
      <c r="B183" s="66">
        <v>2367.4</v>
      </c>
      <c r="C183" s="66">
        <v>2367.0</v>
      </c>
      <c r="D183" s="66">
        <v>4.0</v>
      </c>
      <c r="E183" s="66">
        <v>0.2524</v>
      </c>
    </row>
    <row r="184">
      <c r="A184" s="82">
        <v>44704.0</v>
      </c>
      <c r="B184" s="66">
        <v>2347.6</v>
      </c>
      <c r="C184" s="66">
        <v>2347.0</v>
      </c>
      <c r="D184" s="66">
        <v>6.0</v>
      </c>
      <c r="E184" s="66">
        <v>0.2959</v>
      </c>
    </row>
    <row r="185">
      <c r="A185" s="82">
        <v>44704.0</v>
      </c>
      <c r="B185" s="66">
        <v>2367.5</v>
      </c>
      <c r="C185" s="66">
        <v>2367.0</v>
      </c>
      <c r="D185" s="66">
        <v>5.0</v>
      </c>
      <c r="E185" s="66">
        <v>0.5242</v>
      </c>
    </row>
    <row r="186">
      <c r="A186" s="82">
        <v>44704.0</v>
      </c>
      <c r="B186" s="66">
        <v>2365.4</v>
      </c>
      <c r="C186" s="66">
        <v>2365.0</v>
      </c>
      <c r="D186" s="66">
        <v>4.0</v>
      </c>
      <c r="E186" s="66">
        <v>0.1561</v>
      </c>
    </row>
    <row r="187">
      <c r="A187" s="82">
        <v>44704.0</v>
      </c>
      <c r="B187" s="66">
        <v>2357.5</v>
      </c>
      <c r="C187" s="66">
        <v>2367.0</v>
      </c>
      <c r="D187" s="66">
        <v>6.0</v>
      </c>
      <c r="E187" s="66">
        <v>0.9767</v>
      </c>
    </row>
    <row r="188">
      <c r="A188" s="82">
        <v>44704.0</v>
      </c>
      <c r="B188" s="66">
        <v>2365.5</v>
      </c>
      <c r="C188" s="66">
        <v>2365.0</v>
      </c>
      <c r="D188" s="66">
        <v>5.0</v>
      </c>
      <c r="E188" s="66">
        <v>0.3325</v>
      </c>
    </row>
    <row r="189">
      <c r="A189" s="82">
        <v>44704.0</v>
      </c>
      <c r="B189" s="66">
        <v>2347.5</v>
      </c>
      <c r="C189" s="66">
        <v>2347.0</v>
      </c>
      <c r="D189" s="66">
        <v>5.0</v>
      </c>
      <c r="E189" s="66">
        <v>1.2854</v>
      </c>
    </row>
    <row r="190">
      <c r="A190" s="82">
        <v>44704.0</v>
      </c>
      <c r="B190" s="66">
        <v>2347.7</v>
      </c>
      <c r="C190" s="66">
        <v>2347.0</v>
      </c>
      <c r="D190" s="66">
        <v>7.0</v>
      </c>
      <c r="E190" s="66">
        <v>0.1827</v>
      </c>
    </row>
    <row r="191">
      <c r="A191" s="82">
        <v>44704.0</v>
      </c>
      <c r="B191" s="66">
        <v>2369.3</v>
      </c>
      <c r="C191" s="66">
        <v>2369.0</v>
      </c>
      <c r="D191" s="66">
        <v>3.0</v>
      </c>
      <c r="E191" s="66">
        <v>0.5051</v>
      </c>
    </row>
    <row r="192">
      <c r="A192" s="82">
        <v>44704.0</v>
      </c>
      <c r="B192" s="66">
        <v>2347.4</v>
      </c>
      <c r="C192" s="66">
        <v>2347.0</v>
      </c>
      <c r="D192" s="66">
        <v>4.0</v>
      </c>
      <c r="E192" s="66">
        <v>0.4434</v>
      </c>
    </row>
    <row r="193">
      <c r="A193" s="82">
        <v>44704.0</v>
      </c>
      <c r="B193" s="66">
        <v>2369.6</v>
      </c>
      <c r="C193" s="66">
        <v>2369.0</v>
      </c>
      <c r="D193" s="66">
        <v>6.0</v>
      </c>
      <c r="E193" s="66">
        <v>0.8724</v>
      </c>
    </row>
    <row r="194">
      <c r="A194" s="82">
        <v>44704.0</v>
      </c>
      <c r="B194" s="66">
        <v>2343.6</v>
      </c>
      <c r="C194" s="66">
        <v>2343.0</v>
      </c>
      <c r="D194" s="66">
        <v>6.0</v>
      </c>
      <c r="E194" s="66">
        <v>0.4571</v>
      </c>
    </row>
    <row r="195">
      <c r="A195" s="82">
        <v>44704.0</v>
      </c>
      <c r="B195" s="66">
        <v>2343.7</v>
      </c>
      <c r="C195" s="66">
        <v>2343.0</v>
      </c>
      <c r="D195" s="66">
        <v>7.0</v>
      </c>
      <c r="E195" s="66">
        <v>0.5004</v>
      </c>
    </row>
    <row r="196">
      <c r="A196" s="82">
        <v>44704.0</v>
      </c>
      <c r="B196" s="66">
        <v>2369.1</v>
      </c>
      <c r="C196" s="66">
        <v>2369.0</v>
      </c>
      <c r="D196" s="66">
        <v>1.0</v>
      </c>
      <c r="E196" s="66">
        <v>1.4619</v>
      </c>
    </row>
    <row r="197">
      <c r="A197" s="82">
        <v>44625.0</v>
      </c>
      <c r="B197" s="66">
        <v>2346.6</v>
      </c>
      <c r="C197" s="66">
        <v>2346.0</v>
      </c>
      <c r="D197" s="66">
        <v>6.0</v>
      </c>
      <c r="E197" s="66">
        <v>0.3136</v>
      </c>
    </row>
    <row r="198">
      <c r="A198" s="82">
        <v>44704.0</v>
      </c>
      <c r="B198" s="66">
        <v>2367.1</v>
      </c>
      <c r="C198" s="66">
        <v>2367.0</v>
      </c>
      <c r="D198" s="66">
        <v>1.0</v>
      </c>
      <c r="E198" s="66">
        <v>0.3492</v>
      </c>
    </row>
    <row r="199">
      <c r="A199" s="82">
        <v>44704.0</v>
      </c>
      <c r="B199" s="66">
        <v>2346.3</v>
      </c>
      <c r="C199" s="66">
        <v>2346.0</v>
      </c>
      <c r="D199" s="66">
        <v>3.0</v>
      </c>
      <c r="E199" s="66">
        <v>0.2642</v>
      </c>
    </row>
    <row r="200">
      <c r="A200" s="82">
        <v>44704.0</v>
      </c>
      <c r="B200" s="66">
        <v>2365.3</v>
      </c>
      <c r="C200" s="66">
        <v>2365.0</v>
      </c>
      <c r="D200" s="66">
        <v>3.0</v>
      </c>
      <c r="E200" s="66">
        <v>0.5634</v>
      </c>
    </row>
    <row r="201">
      <c r="A201" s="82">
        <v>44704.0</v>
      </c>
      <c r="B201" s="66">
        <v>2365.2</v>
      </c>
      <c r="C201" s="66">
        <v>2365.0</v>
      </c>
      <c r="D201" s="66">
        <v>2.0</v>
      </c>
      <c r="E201" s="66">
        <v>0.275</v>
      </c>
    </row>
    <row r="202">
      <c r="A202" s="82">
        <v>44704.0</v>
      </c>
      <c r="B202" s="66">
        <v>2343.5</v>
      </c>
      <c r="C202" s="66">
        <v>2343.0</v>
      </c>
      <c r="D202" s="66">
        <v>5.0</v>
      </c>
      <c r="E202" s="66">
        <v>0.2594</v>
      </c>
    </row>
    <row r="203">
      <c r="A203" s="82">
        <v>44704.0</v>
      </c>
      <c r="B203" s="66">
        <v>2369.2</v>
      </c>
      <c r="C203" s="66">
        <v>2369.0</v>
      </c>
      <c r="D203" s="66">
        <v>2.0</v>
      </c>
      <c r="E203" s="66">
        <v>1.6498</v>
      </c>
    </row>
    <row r="204">
      <c r="A204" s="82">
        <v>44704.0</v>
      </c>
      <c r="B204" s="66">
        <v>2365.6</v>
      </c>
      <c r="C204" s="66">
        <v>2365.0</v>
      </c>
      <c r="D204" s="66">
        <v>6.0</v>
      </c>
      <c r="E204" s="66">
        <v>0.6817</v>
      </c>
    </row>
    <row r="205">
      <c r="A205" s="82">
        <v>44704.0</v>
      </c>
      <c r="B205" s="66">
        <v>2369.4</v>
      </c>
      <c r="C205" s="66">
        <v>2369.0</v>
      </c>
      <c r="D205" s="66">
        <v>4.0</v>
      </c>
      <c r="E205" s="66">
        <v>0.4986</v>
      </c>
    </row>
    <row r="206">
      <c r="A206" s="82">
        <v>44704.0</v>
      </c>
      <c r="B206" s="66">
        <v>2347.2</v>
      </c>
      <c r="C206" s="66">
        <v>2347.0</v>
      </c>
      <c r="D206" s="66">
        <v>2.0</v>
      </c>
      <c r="E206" s="66">
        <v>0.6509</v>
      </c>
    </row>
    <row r="207">
      <c r="A207" s="82">
        <v>44704.0</v>
      </c>
      <c r="B207" s="66">
        <v>2343.1</v>
      </c>
      <c r="C207" s="66">
        <v>2343.0</v>
      </c>
      <c r="D207" s="66">
        <v>1.0</v>
      </c>
      <c r="E207" s="66">
        <v>1.9001</v>
      </c>
    </row>
    <row r="208">
      <c r="A208" s="82">
        <v>44704.0</v>
      </c>
      <c r="B208" s="66">
        <v>2367.2</v>
      </c>
      <c r="C208" s="66">
        <v>2367.0</v>
      </c>
      <c r="D208" s="66">
        <v>2.0</v>
      </c>
      <c r="E208" s="66">
        <v>0.1219</v>
      </c>
    </row>
    <row r="209">
      <c r="A209" s="82">
        <v>44704.0</v>
      </c>
      <c r="B209" s="66">
        <v>2347.5</v>
      </c>
      <c r="C209" s="66">
        <v>2347.0</v>
      </c>
      <c r="D209" s="66">
        <v>5.0</v>
      </c>
      <c r="E209" s="66">
        <v>0.2238</v>
      </c>
    </row>
    <row r="210">
      <c r="A210" s="82">
        <v>44704.0</v>
      </c>
      <c r="B210" s="66">
        <v>2346.4</v>
      </c>
      <c r="C210" s="66">
        <v>2346.0</v>
      </c>
      <c r="D210" s="66">
        <v>4.0</v>
      </c>
      <c r="E210" s="66">
        <v>0.4816</v>
      </c>
    </row>
    <row r="211">
      <c r="A211" s="82">
        <v>44704.0</v>
      </c>
      <c r="B211" s="66">
        <v>2346.2</v>
      </c>
      <c r="C211" s="66">
        <v>2346.0</v>
      </c>
      <c r="D211" s="66">
        <v>2.0</v>
      </c>
      <c r="E211" s="66">
        <v>0.2486</v>
      </c>
    </row>
    <row r="212">
      <c r="A212" s="82">
        <v>44704.0</v>
      </c>
      <c r="B212" s="66">
        <v>2343.3</v>
      </c>
      <c r="C212" s="66">
        <v>2343.0</v>
      </c>
      <c r="D212" s="66">
        <v>3.0</v>
      </c>
      <c r="E212" s="66">
        <v>0.4804</v>
      </c>
    </row>
    <row r="213">
      <c r="A213" s="82">
        <v>44704.0</v>
      </c>
      <c r="B213" s="66">
        <v>2346.1</v>
      </c>
      <c r="C213" s="66">
        <v>2346.0</v>
      </c>
      <c r="D213" s="66">
        <v>1.0</v>
      </c>
      <c r="E213" s="66">
        <v>0.1117</v>
      </c>
    </row>
    <row r="214">
      <c r="A214" s="82">
        <v>44704.0</v>
      </c>
      <c r="B214" s="66">
        <v>2343.2</v>
      </c>
      <c r="C214" s="66">
        <v>2343.0</v>
      </c>
      <c r="D214" s="66">
        <v>2.0</v>
      </c>
      <c r="E214" s="66">
        <v>0.8053</v>
      </c>
    </row>
    <row r="215">
      <c r="A215" s="82">
        <v>44704.0</v>
      </c>
      <c r="B215" s="66">
        <v>2347.3</v>
      </c>
      <c r="C215" s="66">
        <v>2347.0</v>
      </c>
      <c r="D215" s="66">
        <v>3.0</v>
      </c>
      <c r="E215" s="66">
        <v>0.4295</v>
      </c>
    </row>
    <row r="216">
      <c r="A216" s="82">
        <v>44704.0</v>
      </c>
      <c r="B216" s="66">
        <v>2347.1</v>
      </c>
      <c r="C216" s="66">
        <v>2347.0</v>
      </c>
      <c r="D216" s="66">
        <v>1.0</v>
      </c>
      <c r="E216" s="66">
        <v>0.4436</v>
      </c>
    </row>
    <row r="217">
      <c r="A217" s="82">
        <v>44704.0</v>
      </c>
      <c r="B217" s="66">
        <v>2367.3</v>
      </c>
      <c r="C217" s="66">
        <v>2367.0</v>
      </c>
      <c r="D217" s="66">
        <v>3.0</v>
      </c>
      <c r="E217" s="66">
        <v>0.1897</v>
      </c>
    </row>
    <row r="218">
      <c r="A218" s="82">
        <v>44704.0</v>
      </c>
      <c r="B218" s="66">
        <v>2365.1</v>
      </c>
      <c r="C218" s="66">
        <v>2365.0</v>
      </c>
      <c r="D218" s="66">
        <v>1.0</v>
      </c>
      <c r="E218" s="66">
        <v>0.7069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79" t="s">
        <v>241</v>
      </c>
      <c r="B1" s="79" t="s">
        <v>243</v>
      </c>
      <c r="C1" s="79" t="s">
        <v>246</v>
      </c>
      <c r="D1" s="79" t="s">
        <v>247</v>
      </c>
      <c r="E1" s="79" t="s">
        <v>248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00">
        <v>44650.0</v>
      </c>
      <c r="B2" s="66">
        <v>2381.0</v>
      </c>
      <c r="C2" s="66" t="s">
        <v>180</v>
      </c>
      <c r="D2" s="66">
        <v>0.3</v>
      </c>
      <c r="E2" s="66">
        <v>0.596</v>
      </c>
    </row>
    <row r="3">
      <c r="A3" s="100">
        <v>44650.0</v>
      </c>
      <c r="B3" s="66">
        <v>2384.0</v>
      </c>
      <c r="C3" s="66" t="s">
        <v>180</v>
      </c>
      <c r="D3" s="66">
        <v>0.213</v>
      </c>
      <c r="E3" s="66">
        <v>0.294</v>
      </c>
    </row>
    <row r="4">
      <c r="A4" s="82">
        <v>44650.0</v>
      </c>
      <c r="B4" s="66">
        <v>2365.0</v>
      </c>
      <c r="C4" s="66" t="s">
        <v>180</v>
      </c>
      <c r="D4" s="66">
        <v>0.471</v>
      </c>
      <c r="E4" s="66">
        <v>0.622</v>
      </c>
    </row>
    <row r="5">
      <c r="A5" s="82">
        <v>44650.0</v>
      </c>
      <c r="B5" s="66">
        <v>2343.0</v>
      </c>
      <c r="C5" s="66" t="s">
        <v>181</v>
      </c>
      <c r="D5" s="66">
        <v>0.316</v>
      </c>
      <c r="E5" s="66">
        <v>0.427</v>
      </c>
    </row>
    <row r="6">
      <c r="A6" s="82">
        <v>44650.0</v>
      </c>
      <c r="B6" s="66">
        <v>2343.0</v>
      </c>
      <c r="C6" s="66" t="s">
        <v>180</v>
      </c>
      <c r="D6" s="66">
        <v>0.402</v>
      </c>
      <c r="E6" s="66">
        <v>0.512</v>
      </c>
    </row>
    <row r="7">
      <c r="A7" s="82">
        <v>44650.0</v>
      </c>
      <c r="B7" s="66">
        <v>2382.0</v>
      </c>
      <c r="C7" s="66" t="s">
        <v>180</v>
      </c>
      <c r="D7" s="66">
        <v>0.206</v>
      </c>
      <c r="E7" s="66">
        <v>0.648</v>
      </c>
    </row>
    <row r="8">
      <c r="A8" s="82">
        <v>44650.0</v>
      </c>
      <c r="B8" s="66">
        <v>2009.0</v>
      </c>
      <c r="C8" s="66" t="s">
        <v>180</v>
      </c>
      <c r="D8" s="66">
        <v>0.242</v>
      </c>
      <c r="E8" s="66">
        <v>0.574</v>
      </c>
    </row>
    <row r="9">
      <c r="A9" s="82">
        <v>44650.0</v>
      </c>
      <c r="B9" s="66">
        <v>2360.0</v>
      </c>
      <c r="C9" s="66" t="s">
        <v>180</v>
      </c>
      <c r="D9" s="66">
        <v>0.261</v>
      </c>
      <c r="E9" s="66">
        <v>0.415</v>
      </c>
    </row>
    <row r="10">
      <c r="A10" s="82">
        <v>44650.0</v>
      </c>
      <c r="B10" s="66">
        <v>2383.0</v>
      </c>
      <c r="C10" s="66" t="s">
        <v>180</v>
      </c>
      <c r="D10" s="66">
        <v>0.065</v>
      </c>
      <c r="E10" s="66">
        <v>0.29</v>
      </c>
    </row>
    <row r="11">
      <c r="A11" s="82">
        <v>44650.0</v>
      </c>
      <c r="B11" s="66">
        <v>2343.0</v>
      </c>
      <c r="C11" s="66" t="s">
        <v>181</v>
      </c>
      <c r="D11" s="66">
        <v>0.123</v>
      </c>
      <c r="E11" s="66">
        <v>0.36</v>
      </c>
    </row>
    <row r="12">
      <c r="A12" s="82">
        <v>44650.0</v>
      </c>
      <c r="B12" s="66">
        <v>2381.0</v>
      </c>
      <c r="C12" s="66" t="s">
        <v>182</v>
      </c>
      <c r="D12" s="66">
        <v>0.118</v>
      </c>
      <c r="E12" s="66">
        <v>0.575</v>
      </c>
    </row>
    <row r="13">
      <c r="A13" s="82">
        <v>44650.0</v>
      </c>
      <c r="B13" s="66">
        <v>2382.0</v>
      </c>
      <c r="C13" s="66" t="s">
        <v>180</v>
      </c>
      <c r="D13" s="66">
        <v>0.174</v>
      </c>
      <c r="E13" s="66">
        <v>0.721</v>
      </c>
    </row>
    <row r="14">
      <c r="A14" s="82">
        <v>44650.0</v>
      </c>
      <c r="B14" s="66">
        <v>2347.0</v>
      </c>
      <c r="C14" s="66" t="s">
        <v>180</v>
      </c>
      <c r="D14" s="66">
        <v>0.432</v>
      </c>
      <c r="E14" s="66">
        <v>0.593</v>
      </c>
    </row>
    <row r="15">
      <c r="A15" s="82">
        <v>44684.0</v>
      </c>
      <c r="B15" s="66">
        <v>2009.0</v>
      </c>
      <c r="C15" s="66" t="s">
        <v>180</v>
      </c>
      <c r="D15" s="66">
        <v>0.096</v>
      </c>
      <c r="E15" s="66">
        <v>0.332</v>
      </c>
    </row>
    <row r="16">
      <c r="A16" s="82">
        <v>44683.0</v>
      </c>
      <c r="B16" s="66">
        <v>2369.0</v>
      </c>
      <c r="C16" s="66" t="s">
        <v>180</v>
      </c>
      <c r="D16" s="66">
        <v>0.144</v>
      </c>
      <c r="E16" s="66">
        <v>0.359</v>
      </c>
    </row>
    <row r="17">
      <c r="A17" s="82">
        <v>44683.0</v>
      </c>
      <c r="B17" s="66">
        <v>2346.0</v>
      </c>
      <c r="C17" s="66" t="s">
        <v>181</v>
      </c>
      <c r="D17" s="66">
        <v>0.158</v>
      </c>
      <c r="E17" s="66">
        <v>0.504</v>
      </c>
    </row>
    <row r="18">
      <c r="A18" s="82">
        <v>44684.0</v>
      </c>
      <c r="B18" s="66">
        <v>2347.0</v>
      </c>
      <c r="C18" s="66" t="s">
        <v>180</v>
      </c>
      <c r="D18" s="66">
        <v>0.281</v>
      </c>
      <c r="E18" s="66">
        <v>0.708</v>
      </c>
    </row>
    <row r="19">
      <c r="A19" s="82">
        <v>44684.0</v>
      </c>
      <c r="B19" s="66">
        <v>2009.0</v>
      </c>
      <c r="C19" s="66" t="s">
        <v>181</v>
      </c>
      <c r="D19" s="66">
        <v>0.247</v>
      </c>
      <c r="E19" s="66">
        <v>0.684</v>
      </c>
    </row>
    <row r="20">
      <c r="A20" s="82">
        <v>44684.0</v>
      </c>
      <c r="B20" s="66">
        <v>2369.0</v>
      </c>
      <c r="C20" s="66" t="s">
        <v>181</v>
      </c>
      <c r="D20" s="66">
        <v>0.295</v>
      </c>
      <c r="E20" s="66">
        <v>0.788</v>
      </c>
    </row>
    <row r="21">
      <c r="A21" s="82">
        <v>44684.0</v>
      </c>
      <c r="B21" s="66">
        <v>2347.0</v>
      </c>
      <c r="C21" s="66" t="s">
        <v>181</v>
      </c>
      <c r="D21" s="66">
        <v>0.102</v>
      </c>
      <c r="E21" s="66">
        <v>0.45</v>
      </c>
    </row>
    <row r="22">
      <c r="A22" s="82">
        <v>44684.0</v>
      </c>
      <c r="B22" s="66">
        <v>2381.0</v>
      </c>
      <c r="C22" s="66" t="s">
        <v>181</v>
      </c>
      <c r="D22" s="66">
        <v>0.091</v>
      </c>
      <c r="E22" s="66">
        <v>0.682</v>
      </c>
    </row>
    <row r="23">
      <c r="A23" s="82">
        <v>44684.0</v>
      </c>
      <c r="B23" s="66">
        <v>2346.0</v>
      </c>
      <c r="C23" s="66" t="s">
        <v>180</v>
      </c>
      <c r="D23" s="66">
        <v>0.101</v>
      </c>
      <c r="E23" s="66">
        <v>0.226</v>
      </c>
    </row>
    <row r="24">
      <c r="A24" s="82">
        <v>44684.0</v>
      </c>
      <c r="B24" s="66">
        <v>2367.0</v>
      </c>
      <c r="C24" s="66" t="s">
        <v>181</v>
      </c>
      <c r="D24" s="66">
        <v>0.046</v>
      </c>
      <c r="E24" s="66">
        <v>0.226</v>
      </c>
    </row>
    <row r="25">
      <c r="A25" s="82">
        <v>44684.0</v>
      </c>
      <c r="B25" s="66">
        <v>2381.0</v>
      </c>
      <c r="C25" s="66" t="s">
        <v>180</v>
      </c>
      <c r="D25" s="66">
        <v>0.784</v>
      </c>
      <c r="E25" s="66">
        <v>0.535</v>
      </c>
    </row>
    <row r="26">
      <c r="A26" s="82">
        <v>44684.0</v>
      </c>
      <c r="B26" s="66">
        <v>2367.0</v>
      </c>
      <c r="C26" s="66" t="s">
        <v>180</v>
      </c>
      <c r="D26" s="66">
        <v>0.101</v>
      </c>
      <c r="E26" s="66">
        <v>0.445</v>
      </c>
    </row>
    <row r="27">
      <c r="A27" s="82">
        <v>44684.0</v>
      </c>
      <c r="B27" s="66">
        <v>2343.0</v>
      </c>
      <c r="C27" s="66" t="s">
        <v>180</v>
      </c>
      <c r="D27" s="66">
        <v>0.098</v>
      </c>
      <c r="E27" s="66">
        <v>0.682</v>
      </c>
    </row>
    <row r="28">
      <c r="A28" s="82">
        <v>44684.0</v>
      </c>
      <c r="B28" s="66">
        <v>2365.0</v>
      </c>
      <c r="C28" s="66" t="s">
        <v>180</v>
      </c>
      <c r="D28" s="81">
        <f>0.045+0.058</f>
        <v>0.103</v>
      </c>
      <c r="E28" s="66">
        <v>0.45</v>
      </c>
    </row>
    <row r="29">
      <c r="A29" s="82">
        <v>44684.0</v>
      </c>
      <c r="B29" s="66">
        <v>2384.0</v>
      </c>
      <c r="C29" s="66" t="s">
        <v>180</v>
      </c>
      <c r="D29" s="81">
        <f>0.034+0.008</f>
        <v>0.042</v>
      </c>
      <c r="E29" s="66">
        <v>0.183</v>
      </c>
    </row>
    <row r="30">
      <c r="A30" s="82">
        <v>44684.0</v>
      </c>
      <c r="B30" s="66">
        <v>2010.0</v>
      </c>
      <c r="C30" s="66" t="s">
        <v>180</v>
      </c>
      <c r="D30" s="81">
        <f>0.035+0.035</f>
        <v>0.07</v>
      </c>
      <c r="E30" s="66">
        <v>0.405</v>
      </c>
    </row>
    <row r="31">
      <c r="A31" s="82">
        <v>44684.0</v>
      </c>
      <c r="B31" s="66">
        <v>2360.0</v>
      </c>
      <c r="C31" s="66" t="s">
        <v>180</v>
      </c>
      <c r="D31" s="66">
        <v>0.083</v>
      </c>
      <c r="E31" s="66">
        <v>0.576</v>
      </c>
    </row>
    <row r="32">
      <c r="A32" s="82">
        <v>44684.0</v>
      </c>
      <c r="B32" s="66">
        <v>2365.0</v>
      </c>
      <c r="C32" s="66" t="s">
        <v>181</v>
      </c>
      <c r="D32" s="81">
        <f>0.043+0.042</f>
        <v>0.085</v>
      </c>
      <c r="E32" s="66">
        <v>0.362</v>
      </c>
    </row>
    <row r="33">
      <c r="A33" s="82">
        <v>44684.0</v>
      </c>
      <c r="B33" s="66">
        <v>2360.0</v>
      </c>
      <c r="C33" s="66" t="s">
        <v>181</v>
      </c>
      <c r="D33" s="81">
        <f>0.049+0.053</f>
        <v>0.102</v>
      </c>
      <c r="E33" s="66">
        <v>0.348</v>
      </c>
    </row>
    <row r="34">
      <c r="A34" s="82">
        <v>44684.0</v>
      </c>
      <c r="B34" s="66">
        <v>2382.0</v>
      </c>
      <c r="C34" s="66" t="s">
        <v>180</v>
      </c>
      <c r="D34" s="81">
        <f>0.074+0.044</f>
        <v>0.118</v>
      </c>
      <c r="E34" s="66">
        <v>0.755</v>
      </c>
    </row>
    <row r="35">
      <c r="A35" s="82">
        <v>44706.0</v>
      </c>
      <c r="B35" s="66">
        <v>2347.0</v>
      </c>
      <c r="C35" s="66" t="s">
        <v>180</v>
      </c>
      <c r="D35" s="66">
        <v>0.36</v>
      </c>
      <c r="E35" s="66">
        <v>0.878</v>
      </c>
    </row>
    <row r="36">
      <c r="A36" s="82">
        <v>44706.0</v>
      </c>
      <c r="B36" s="66">
        <v>2354.0</v>
      </c>
      <c r="C36" s="66" t="s">
        <v>180</v>
      </c>
      <c r="D36" s="66">
        <v>0.107</v>
      </c>
      <c r="E36" s="66">
        <v>0.589</v>
      </c>
    </row>
    <row r="37">
      <c r="A37" s="82">
        <v>44706.0</v>
      </c>
      <c r="B37" s="66">
        <v>2369.0</v>
      </c>
      <c r="C37" s="66" t="s">
        <v>180</v>
      </c>
      <c r="D37" s="66">
        <v>0.26</v>
      </c>
      <c r="E37" s="66">
        <v>0.997</v>
      </c>
    </row>
    <row r="38">
      <c r="A38" s="82">
        <v>44706.0</v>
      </c>
      <c r="B38" s="66">
        <v>2365.0</v>
      </c>
      <c r="C38" s="66" t="s">
        <v>180</v>
      </c>
      <c r="D38" s="66">
        <v>0.288</v>
      </c>
      <c r="E38" s="66">
        <v>0.69</v>
      </c>
    </row>
    <row r="39">
      <c r="A39" s="82">
        <v>44706.0</v>
      </c>
      <c r="B39" s="66">
        <v>2343.0</v>
      </c>
      <c r="C39" s="66" t="s">
        <v>180</v>
      </c>
      <c r="D39" s="66">
        <v>0.396</v>
      </c>
      <c r="E39" s="66">
        <v>1.043</v>
      </c>
    </row>
    <row r="40">
      <c r="A40" s="82">
        <v>44706.0</v>
      </c>
      <c r="B40" s="66">
        <v>2380.0</v>
      </c>
      <c r="C40" s="66" t="s">
        <v>180</v>
      </c>
      <c r="D40" s="66">
        <v>0.408</v>
      </c>
      <c r="E40" s="66">
        <v>1.908</v>
      </c>
    </row>
    <row r="41">
      <c r="A41" s="82">
        <v>44706.0</v>
      </c>
      <c r="B41" s="66">
        <v>2376.0</v>
      </c>
      <c r="C41" s="66" t="s">
        <v>180</v>
      </c>
      <c r="D41" s="66">
        <v>0.18</v>
      </c>
      <c r="E41" s="66">
        <v>0.885</v>
      </c>
    </row>
    <row r="42">
      <c r="A42" s="82">
        <v>44706.0</v>
      </c>
      <c r="B42" s="66">
        <v>2352.0</v>
      </c>
      <c r="C42" s="66" t="s">
        <v>180</v>
      </c>
      <c r="D42" s="66">
        <v>0.145</v>
      </c>
      <c r="E42" s="66">
        <v>0.612</v>
      </c>
    </row>
    <row r="43">
      <c r="A43" s="82">
        <v>44706.0</v>
      </c>
      <c r="B43" s="66">
        <v>2346.0</v>
      </c>
      <c r="C43" s="66" t="s">
        <v>180</v>
      </c>
      <c r="D43" s="66">
        <v>0.204</v>
      </c>
      <c r="E43" s="66">
        <v>0.317</v>
      </c>
    </row>
    <row r="44">
      <c r="A44" s="82">
        <v>44706.0</v>
      </c>
      <c r="B44" s="66">
        <v>2345.0</v>
      </c>
      <c r="C44" s="66" t="s">
        <v>180</v>
      </c>
      <c r="D44" s="66">
        <v>0.265</v>
      </c>
      <c r="E44" s="66">
        <v>0.774</v>
      </c>
    </row>
    <row r="45">
      <c r="A45" s="82">
        <v>44706.0</v>
      </c>
      <c r="B45" s="66">
        <v>2367.0</v>
      </c>
      <c r="C45" s="66" t="s">
        <v>180</v>
      </c>
      <c r="D45" s="66">
        <v>0.343</v>
      </c>
      <c r="E45" s="66">
        <v>0.136</v>
      </c>
    </row>
    <row r="46">
      <c r="A46" s="82">
        <v>44706.0</v>
      </c>
      <c r="B46" s="66">
        <v>2331.0</v>
      </c>
      <c r="C46" s="66" t="s">
        <v>180</v>
      </c>
      <c r="D46" s="66">
        <v>0.523</v>
      </c>
      <c r="E46" s="66">
        <v>1.575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101" t="s">
        <v>249</v>
      </c>
      <c r="D1" s="102"/>
      <c r="E1" s="102"/>
    </row>
    <row r="3">
      <c r="C3" s="103" t="s">
        <v>1</v>
      </c>
      <c r="D3" s="104" t="s">
        <v>250</v>
      </c>
      <c r="E3" s="103"/>
    </row>
    <row r="4">
      <c r="C4" s="103" t="s">
        <v>3</v>
      </c>
      <c r="D4" s="104" t="s">
        <v>251</v>
      </c>
    </row>
    <row r="6">
      <c r="A6" s="105" t="s">
        <v>99</v>
      </c>
      <c r="B6" s="106" t="s">
        <v>100</v>
      </c>
      <c r="C6" s="107" t="s">
        <v>11</v>
      </c>
      <c r="D6" s="108" t="s">
        <v>12</v>
      </c>
      <c r="E6" s="108" t="s">
        <v>13</v>
      </c>
      <c r="F6" s="36" t="s">
        <v>28</v>
      </c>
      <c r="G6" s="36" t="s">
        <v>29</v>
      </c>
      <c r="H6" s="35" t="s">
        <v>178</v>
      </c>
      <c r="I6" s="35" t="s">
        <v>252</v>
      </c>
      <c r="J6" s="35" t="s">
        <v>253</v>
      </c>
      <c r="K6" s="35" t="s">
        <v>254</v>
      </c>
      <c r="L6" s="35" t="s">
        <v>255</v>
      </c>
      <c r="M6" s="35" t="s">
        <v>256</v>
      </c>
      <c r="N6" s="35" t="s">
        <v>257</v>
      </c>
      <c r="O6" s="35" t="s">
        <v>258</v>
      </c>
      <c r="P6" s="35" t="s">
        <v>259</v>
      </c>
      <c r="Q6" s="35" t="s">
        <v>260</v>
      </c>
      <c r="R6" s="35" t="s">
        <v>261</v>
      </c>
      <c r="S6" s="35" t="s">
        <v>262</v>
      </c>
      <c r="T6" s="35" t="s">
        <v>263</v>
      </c>
      <c r="U6" s="35" t="s">
        <v>264</v>
      </c>
      <c r="V6" s="35" t="s">
        <v>265</v>
      </c>
      <c r="W6" s="35" t="s">
        <v>266</v>
      </c>
      <c r="X6" s="35" t="s">
        <v>267</v>
      </c>
      <c r="Y6" s="35" t="s">
        <v>268</v>
      </c>
      <c r="Z6" s="35" t="s">
        <v>269</v>
      </c>
      <c r="AA6" s="35" t="s">
        <v>270</v>
      </c>
      <c r="AB6" s="35" t="s">
        <v>271</v>
      </c>
      <c r="AC6" s="35" t="s">
        <v>272</v>
      </c>
      <c r="AD6" s="35" t="s">
        <v>273</v>
      </c>
      <c r="AE6" s="35" t="s">
        <v>274</v>
      </c>
      <c r="AF6" s="35" t="s">
        <v>275</v>
      </c>
      <c r="AG6" s="35" t="s">
        <v>276</v>
      </c>
      <c r="AH6" s="35" t="s">
        <v>277</v>
      </c>
      <c r="AI6" s="35" t="s">
        <v>278</v>
      </c>
      <c r="AJ6" s="35" t="s">
        <v>279</v>
      </c>
      <c r="AK6" s="35" t="s">
        <v>280</v>
      </c>
      <c r="AL6" s="35" t="s">
        <v>281</v>
      </c>
      <c r="AM6" s="35" t="s">
        <v>282</v>
      </c>
      <c r="AN6" s="35" t="s">
        <v>283</v>
      </c>
      <c r="AO6" s="35" t="s">
        <v>284</v>
      </c>
      <c r="AP6" s="35" t="s">
        <v>285</v>
      </c>
      <c r="AQ6" s="35" t="s">
        <v>286</v>
      </c>
      <c r="AR6" s="35" t="s">
        <v>287</v>
      </c>
      <c r="AS6" s="35" t="s">
        <v>288</v>
      </c>
      <c r="AT6" s="35" t="s">
        <v>289</v>
      </c>
      <c r="AU6" s="35" t="s">
        <v>290</v>
      </c>
      <c r="AV6" s="35" t="s">
        <v>291</v>
      </c>
      <c r="AW6" s="35" t="s">
        <v>292</v>
      </c>
      <c r="AX6" s="35" t="s">
        <v>293</v>
      </c>
      <c r="AY6" s="35" t="s">
        <v>294</v>
      </c>
      <c r="AZ6" s="35" t="s">
        <v>295</v>
      </c>
      <c r="BA6" s="35" t="s">
        <v>296</v>
      </c>
      <c r="BB6" s="35" t="s">
        <v>297</v>
      </c>
      <c r="BC6" s="35" t="s">
        <v>298</v>
      </c>
      <c r="BD6" s="35" t="s">
        <v>299</v>
      </c>
      <c r="BE6" s="35" t="s">
        <v>300</v>
      </c>
      <c r="BF6" s="35" t="s">
        <v>301</v>
      </c>
      <c r="BG6" s="35" t="s">
        <v>302</v>
      </c>
      <c r="BH6" s="36" t="s">
        <v>45</v>
      </c>
      <c r="BI6" s="14"/>
      <c r="BJ6" s="14"/>
      <c r="BK6" s="14"/>
    </row>
    <row r="7">
      <c r="A7" s="104" t="s">
        <v>89</v>
      </c>
      <c r="B7" s="106" t="s">
        <v>137</v>
      </c>
      <c r="C7" s="103" t="s">
        <v>55</v>
      </c>
      <c r="D7" s="103" t="s">
        <v>56</v>
      </c>
      <c r="E7" s="103">
        <v>2352.0</v>
      </c>
    </row>
    <row r="8">
      <c r="A8" s="104" t="s">
        <v>89</v>
      </c>
      <c r="B8" s="106" t="s">
        <v>137</v>
      </c>
      <c r="C8" s="103" t="s">
        <v>55</v>
      </c>
      <c r="D8" s="103" t="s">
        <v>56</v>
      </c>
      <c r="E8" s="103">
        <v>2353.0</v>
      </c>
    </row>
    <row r="9">
      <c r="A9" s="104" t="s">
        <v>89</v>
      </c>
      <c r="B9" s="106" t="s">
        <v>137</v>
      </c>
      <c r="C9" s="103" t="s">
        <v>55</v>
      </c>
      <c r="D9" s="103" t="s">
        <v>56</v>
      </c>
      <c r="E9" s="109">
        <v>2354.0</v>
      </c>
    </row>
    <row r="10">
      <c r="A10" s="104" t="s">
        <v>89</v>
      </c>
      <c r="B10" s="106" t="s">
        <v>137</v>
      </c>
      <c r="C10" s="103" t="s">
        <v>55</v>
      </c>
      <c r="D10" s="103" t="s">
        <v>61</v>
      </c>
      <c r="E10" s="103">
        <v>2355.0</v>
      </c>
      <c r="F10" s="66">
        <v>2.0</v>
      </c>
      <c r="G10" s="66">
        <v>1.0</v>
      </c>
      <c r="H10" s="82">
        <v>44610.0</v>
      </c>
    </row>
    <row r="11">
      <c r="A11" s="104" t="s">
        <v>89</v>
      </c>
      <c r="B11" s="106" t="s">
        <v>58</v>
      </c>
      <c r="C11" s="103" t="s">
        <v>55</v>
      </c>
      <c r="D11" s="103" t="s">
        <v>61</v>
      </c>
      <c r="E11" s="109" t="s">
        <v>62</v>
      </c>
    </row>
    <row r="12">
      <c r="A12" s="104" t="s">
        <v>89</v>
      </c>
      <c r="B12" s="106" t="s">
        <v>137</v>
      </c>
      <c r="C12" s="103" t="s">
        <v>55</v>
      </c>
      <c r="D12" s="103" t="s">
        <v>61</v>
      </c>
      <c r="E12" s="103">
        <v>2356.0</v>
      </c>
      <c r="F12" s="66">
        <v>3.0</v>
      </c>
      <c r="G12" s="66">
        <v>0.0</v>
      </c>
      <c r="H12" s="82">
        <v>44610.0</v>
      </c>
    </row>
    <row r="13">
      <c r="A13" s="104" t="s">
        <v>89</v>
      </c>
      <c r="B13" s="106" t="s">
        <v>137</v>
      </c>
      <c r="C13" s="103" t="s">
        <v>55</v>
      </c>
      <c r="D13" s="103" t="s">
        <v>61</v>
      </c>
      <c r="E13" s="103">
        <v>2357.0</v>
      </c>
      <c r="F13" s="66">
        <v>2.0</v>
      </c>
      <c r="G13" s="66">
        <v>3.0</v>
      </c>
      <c r="H13" s="82">
        <v>44610.0</v>
      </c>
    </row>
    <row r="14">
      <c r="A14" s="104" t="s">
        <v>89</v>
      </c>
      <c r="B14" s="106" t="s">
        <v>58</v>
      </c>
      <c r="C14" s="103" t="s">
        <v>55</v>
      </c>
      <c r="D14" s="103" t="s">
        <v>61</v>
      </c>
      <c r="E14" s="109" t="s">
        <v>62</v>
      </c>
    </row>
    <row r="15">
      <c r="A15" s="104" t="s">
        <v>89</v>
      </c>
      <c r="B15" s="106" t="s">
        <v>137</v>
      </c>
      <c r="C15" s="103" t="s">
        <v>55</v>
      </c>
      <c r="D15" s="103" t="s">
        <v>61</v>
      </c>
      <c r="E15" s="103">
        <v>2358.0</v>
      </c>
      <c r="F15" s="66">
        <v>1.0</v>
      </c>
      <c r="G15" s="66">
        <v>2.0</v>
      </c>
      <c r="H15" s="82">
        <v>44610.0</v>
      </c>
    </row>
    <row r="16">
      <c r="A16" s="104" t="s">
        <v>89</v>
      </c>
      <c r="B16" s="106" t="s">
        <v>137</v>
      </c>
      <c r="C16" s="103" t="s">
        <v>55</v>
      </c>
      <c r="D16" s="103" t="s">
        <v>61</v>
      </c>
      <c r="E16" s="103">
        <v>2359.0</v>
      </c>
      <c r="F16" s="66">
        <v>0.0</v>
      </c>
      <c r="G16" s="66">
        <v>2.0</v>
      </c>
      <c r="H16" s="82">
        <v>44610.0</v>
      </c>
    </row>
    <row r="17">
      <c r="A17" s="104" t="s">
        <v>89</v>
      </c>
      <c r="B17" s="106" t="s">
        <v>58</v>
      </c>
      <c r="C17" s="103" t="s">
        <v>55</v>
      </c>
      <c r="D17" s="103" t="s">
        <v>61</v>
      </c>
      <c r="E17" s="109" t="s">
        <v>62</v>
      </c>
    </row>
    <row r="18">
      <c r="A18" s="104" t="s">
        <v>89</v>
      </c>
      <c r="B18" s="106" t="s">
        <v>137</v>
      </c>
      <c r="C18" s="103" t="s">
        <v>55</v>
      </c>
      <c r="D18" s="103" t="s">
        <v>61</v>
      </c>
      <c r="E18" s="103">
        <v>2360.0</v>
      </c>
      <c r="F18" s="66">
        <v>0.0</v>
      </c>
      <c r="G18" s="66">
        <v>5.0</v>
      </c>
      <c r="H18" s="82">
        <v>44610.0</v>
      </c>
    </row>
    <row r="19">
      <c r="A19" s="104" t="s">
        <v>89</v>
      </c>
      <c r="B19" s="106" t="s">
        <v>137</v>
      </c>
      <c r="C19" s="103" t="s">
        <v>55</v>
      </c>
      <c r="D19" s="103" t="s">
        <v>61</v>
      </c>
      <c r="E19" s="103">
        <v>2361.0</v>
      </c>
      <c r="F19" s="66">
        <v>3.0</v>
      </c>
      <c r="G19" s="66">
        <v>0.0</v>
      </c>
      <c r="H19" s="82">
        <v>44610.0</v>
      </c>
    </row>
    <row r="20">
      <c r="A20" s="104" t="s">
        <v>89</v>
      </c>
      <c r="B20" s="106" t="s">
        <v>58</v>
      </c>
      <c r="C20" s="103" t="s">
        <v>55</v>
      </c>
      <c r="D20" s="103" t="s">
        <v>61</v>
      </c>
      <c r="E20" s="109" t="s">
        <v>62</v>
      </c>
    </row>
    <row r="21">
      <c r="A21" s="104" t="s">
        <v>89</v>
      </c>
      <c r="B21" s="106" t="s">
        <v>137</v>
      </c>
      <c r="C21" s="103" t="s">
        <v>55</v>
      </c>
      <c r="D21" s="103" t="s">
        <v>61</v>
      </c>
      <c r="E21" s="103">
        <v>2362.0</v>
      </c>
      <c r="F21" s="66">
        <v>3.0</v>
      </c>
      <c r="G21" s="82">
        <v>44687.0</v>
      </c>
      <c r="H21" s="82">
        <v>44610.0</v>
      </c>
    </row>
    <row r="22">
      <c r="A22" s="104" t="s">
        <v>89</v>
      </c>
      <c r="B22" s="106" t="s">
        <v>137</v>
      </c>
      <c r="C22" s="103" t="s">
        <v>55</v>
      </c>
      <c r="D22" s="103" t="s">
        <v>61</v>
      </c>
      <c r="E22" s="103">
        <v>2363.0</v>
      </c>
      <c r="F22" s="66">
        <v>3.0</v>
      </c>
      <c r="G22" s="66">
        <v>0.0</v>
      </c>
      <c r="H22" s="82">
        <v>44610.0</v>
      </c>
    </row>
    <row r="23">
      <c r="A23" s="104" t="s">
        <v>89</v>
      </c>
      <c r="B23" s="106" t="s">
        <v>137</v>
      </c>
      <c r="C23" s="103" t="s">
        <v>55</v>
      </c>
      <c r="D23" s="103" t="s">
        <v>61</v>
      </c>
      <c r="E23" s="103">
        <v>2364.0</v>
      </c>
      <c r="F23" s="66">
        <v>3.0</v>
      </c>
      <c r="G23" s="66">
        <v>0.0</v>
      </c>
      <c r="H23" s="82">
        <v>44610.0</v>
      </c>
    </row>
    <row r="24">
      <c r="A24" s="104" t="s">
        <v>89</v>
      </c>
      <c r="B24" s="106" t="s">
        <v>137</v>
      </c>
      <c r="C24" s="103" t="s">
        <v>55</v>
      </c>
      <c r="D24" s="103" t="s">
        <v>61</v>
      </c>
      <c r="E24" s="103">
        <v>2365.0</v>
      </c>
      <c r="F24" s="66">
        <v>3.0</v>
      </c>
      <c r="G24" s="66">
        <v>1.0</v>
      </c>
      <c r="H24" s="82">
        <v>44610.0</v>
      </c>
    </row>
    <row r="25">
      <c r="A25" s="104" t="s">
        <v>89</v>
      </c>
      <c r="B25" s="106" t="s">
        <v>137</v>
      </c>
      <c r="C25" s="103" t="s">
        <v>55</v>
      </c>
      <c r="D25" s="103" t="s">
        <v>61</v>
      </c>
      <c r="E25" s="103">
        <v>2366.0</v>
      </c>
      <c r="F25" s="66">
        <v>3.0</v>
      </c>
      <c r="G25" s="66">
        <v>0.0</v>
      </c>
      <c r="H25" s="82">
        <v>44610.0</v>
      </c>
    </row>
    <row r="26">
      <c r="A26" s="104" t="s">
        <v>89</v>
      </c>
      <c r="B26" s="106" t="s">
        <v>58</v>
      </c>
      <c r="C26" s="103" t="s">
        <v>55</v>
      </c>
      <c r="D26" s="103" t="s">
        <v>61</v>
      </c>
      <c r="E26" s="109" t="s">
        <v>62</v>
      </c>
    </row>
    <row r="27">
      <c r="A27" s="104" t="s">
        <v>89</v>
      </c>
      <c r="B27" s="106" t="s">
        <v>137</v>
      </c>
      <c r="C27" s="103" t="s">
        <v>55</v>
      </c>
      <c r="D27" s="103" t="s">
        <v>61</v>
      </c>
      <c r="E27" s="103">
        <v>2367.0</v>
      </c>
      <c r="F27" s="66">
        <v>2.0</v>
      </c>
      <c r="G27" s="66">
        <v>0.0</v>
      </c>
      <c r="H27" s="82">
        <v>44610.0</v>
      </c>
    </row>
    <row r="28">
      <c r="A28" s="104" t="s">
        <v>89</v>
      </c>
      <c r="B28" s="106" t="s">
        <v>58</v>
      </c>
      <c r="C28" s="103" t="s">
        <v>55</v>
      </c>
      <c r="D28" s="103" t="s">
        <v>61</v>
      </c>
      <c r="E28" s="109" t="s">
        <v>62</v>
      </c>
    </row>
    <row r="29">
      <c r="A29" s="104" t="s">
        <v>89</v>
      </c>
      <c r="B29" s="106" t="s">
        <v>58</v>
      </c>
      <c r="C29" s="103" t="s">
        <v>55</v>
      </c>
      <c r="D29" s="103" t="s">
        <v>61</v>
      </c>
      <c r="E29" s="109" t="s">
        <v>62</v>
      </c>
    </row>
    <row r="30">
      <c r="A30" s="104" t="s">
        <v>89</v>
      </c>
      <c r="B30" s="106" t="s">
        <v>137</v>
      </c>
      <c r="C30" s="103" t="s">
        <v>55</v>
      </c>
      <c r="D30" s="103" t="s">
        <v>61</v>
      </c>
      <c r="E30" s="103">
        <v>2369.0</v>
      </c>
      <c r="F30" s="66">
        <v>3.0</v>
      </c>
      <c r="G30" s="66">
        <v>0.0</v>
      </c>
      <c r="H30" s="82">
        <v>44610.0</v>
      </c>
    </row>
    <row r="31">
      <c r="A31" s="104" t="s">
        <v>89</v>
      </c>
      <c r="B31" s="106" t="s">
        <v>137</v>
      </c>
      <c r="C31" s="104" t="s">
        <v>63</v>
      </c>
      <c r="D31" s="104" t="s">
        <v>56</v>
      </c>
      <c r="E31" s="104">
        <v>2376.0</v>
      </c>
    </row>
    <row r="32">
      <c r="A32" s="104" t="s">
        <v>89</v>
      </c>
      <c r="B32" s="106" t="s">
        <v>137</v>
      </c>
      <c r="C32" s="104" t="s">
        <v>63</v>
      </c>
      <c r="D32" s="104" t="s">
        <v>56</v>
      </c>
      <c r="E32" s="104">
        <v>2377.0</v>
      </c>
    </row>
    <row r="33">
      <c r="A33" s="104" t="s">
        <v>89</v>
      </c>
      <c r="B33" s="106" t="s">
        <v>137</v>
      </c>
      <c r="C33" s="104" t="s">
        <v>63</v>
      </c>
      <c r="D33" s="104" t="s">
        <v>61</v>
      </c>
      <c r="E33" s="104">
        <v>2378.0</v>
      </c>
    </row>
    <row r="34">
      <c r="A34" s="104" t="s">
        <v>89</v>
      </c>
      <c r="B34" s="106" t="s">
        <v>137</v>
      </c>
      <c r="C34" s="104" t="s">
        <v>63</v>
      </c>
      <c r="D34" s="104" t="s">
        <v>61</v>
      </c>
      <c r="E34" s="104">
        <v>2379.0</v>
      </c>
    </row>
    <row r="35">
      <c r="A35" s="104" t="s">
        <v>89</v>
      </c>
      <c r="B35" s="106" t="s">
        <v>137</v>
      </c>
      <c r="C35" s="104" t="s">
        <v>63</v>
      </c>
      <c r="D35" s="104" t="s">
        <v>56</v>
      </c>
      <c r="E35" s="104">
        <v>2380.0</v>
      </c>
    </row>
    <row r="36">
      <c r="A36" s="104" t="s">
        <v>89</v>
      </c>
      <c r="B36" s="106" t="s">
        <v>113</v>
      </c>
      <c r="C36" s="103" t="s">
        <v>67</v>
      </c>
      <c r="D36" s="103" t="s">
        <v>61</v>
      </c>
      <c r="E36" s="103">
        <v>2337.0</v>
      </c>
      <c r="F36" s="66">
        <v>0.0</v>
      </c>
      <c r="G36" s="66">
        <v>0.0</v>
      </c>
      <c r="H36" s="82">
        <v>44610.0</v>
      </c>
    </row>
    <row r="37">
      <c r="A37" s="104" t="s">
        <v>89</v>
      </c>
      <c r="B37" s="106" t="s">
        <v>113</v>
      </c>
      <c r="C37" s="103" t="s">
        <v>67</v>
      </c>
      <c r="D37" s="103" t="s">
        <v>61</v>
      </c>
      <c r="E37" s="103">
        <v>2338.0</v>
      </c>
      <c r="F37" s="66">
        <v>0.0</v>
      </c>
      <c r="G37" s="66">
        <v>0.0</v>
      </c>
      <c r="H37" s="82">
        <v>44610.0</v>
      </c>
    </row>
    <row r="38">
      <c r="A38" s="104" t="s">
        <v>89</v>
      </c>
      <c r="B38" s="106" t="s">
        <v>113</v>
      </c>
      <c r="C38" s="103" t="s">
        <v>67</v>
      </c>
      <c r="D38" s="103" t="s">
        <v>61</v>
      </c>
      <c r="E38" s="103">
        <v>2339.0</v>
      </c>
      <c r="F38" s="66">
        <v>1.0</v>
      </c>
      <c r="G38" s="66">
        <v>0.0</v>
      </c>
      <c r="H38" s="82">
        <v>44610.0</v>
      </c>
    </row>
    <row r="39">
      <c r="A39" s="104" t="s">
        <v>89</v>
      </c>
      <c r="B39" s="106" t="s">
        <v>113</v>
      </c>
      <c r="C39" s="103" t="s">
        <v>67</v>
      </c>
      <c r="D39" s="103" t="s">
        <v>61</v>
      </c>
      <c r="E39" s="103">
        <v>2340.0</v>
      </c>
      <c r="F39" s="66">
        <v>0.0</v>
      </c>
      <c r="G39" s="66">
        <v>0.0</v>
      </c>
      <c r="H39" s="82">
        <v>44610.0</v>
      </c>
    </row>
    <row r="40">
      <c r="A40" s="104" t="s">
        <v>89</v>
      </c>
      <c r="B40" s="106" t="s">
        <v>113</v>
      </c>
      <c r="C40" s="103" t="s">
        <v>67</v>
      </c>
      <c r="D40" s="103" t="s">
        <v>61</v>
      </c>
      <c r="E40" s="103">
        <v>2341.0</v>
      </c>
      <c r="F40" s="66">
        <v>0.0</v>
      </c>
      <c r="G40" s="66">
        <v>0.0</v>
      </c>
      <c r="H40" s="82">
        <v>44610.0</v>
      </c>
    </row>
    <row r="41">
      <c r="A41" s="104" t="s">
        <v>89</v>
      </c>
      <c r="B41" s="106" t="s">
        <v>113</v>
      </c>
      <c r="C41" s="103" t="s">
        <v>67</v>
      </c>
      <c r="D41" s="103" t="s">
        <v>61</v>
      </c>
      <c r="E41" s="103">
        <v>2342.0</v>
      </c>
      <c r="F41" s="66">
        <v>0.0</v>
      </c>
      <c r="G41" s="66">
        <v>0.0</v>
      </c>
      <c r="H41" s="82">
        <v>44610.0</v>
      </c>
    </row>
    <row r="42">
      <c r="A42" s="104" t="s">
        <v>89</v>
      </c>
      <c r="B42" s="106" t="s">
        <v>113</v>
      </c>
      <c r="C42" s="103" t="s">
        <v>67</v>
      </c>
      <c r="D42" s="103" t="s">
        <v>61</v>
      </c>
      <c r="E42" s="103">
        <v>2343.0</v>
      </c>
      <c r="F42" s="66">
        <v>1.0</v>
      </c>
      <c r="G42" s="66">
        <v>0.0</v>
      </c>
      <c r="H42" s="82">
        <v>44610.0</v>
      </c>
    </row>
    <row r="43">
      <c r="A43" s="104" t="s">
        <v>89</v>
      </c>
      <c r="B43" s="106" t="s">
        <v>58</v>
      </c>
      <c r="C43" s="110" t="s">
        <v>67</v>
      </c>
      <c r="D43" s="110" t="s">
        <v>61</v>
      </c>
      <c r="E43" s="110" t="s">
        <v>70</v>
      </c>
    </row>
    <row r="44">
      <c r="A44" s="104" t="s">
        <v>89</v>
      </c>
      <c r="B44" s="106" t="s">
        <v>113</v>
      </c>
      <c r="C44" s="103" t="s">
        <v>67</v>
      </c>
      <c r="D44" s="103" t="s">
        <v>61</v>
      </c>
      <c r="E44" s="103">
        <v>2344.0</v>
      </c>
    </row>
    <row r="45">
      <c r="A45" s="104" t="s">
        <v>89</v>
      </c>
      <c r="B45" s="106" t="s">
        <v>58</v>
      </c>
      <c r="C45" s="110" t="s">
        <v>67</v>
      </c>
      <c r="D45" s="110" t="s">
        <v>56</v>
      </c>
      <c r="E45" s="110" t="s">
        <v>70</v>
      </c>
    </row>
    <row r="46">
      <c r="A46" s="104" t="s">
        <v>89</v>
      </c>
      <c r="B46" s="106" t="s">
        <v>113</v>
      </c>
      <c r="C46" s="103" t="s">
        <v>67</v>
      </c>
      <c r="D46" s="103" t="s">
        <v>56</v>
      </c>
      <c r="E46" s="109">
        <v>2345.0</v>
      </c>
    </row>
    <row r="47">
      <c r="A47" s="104" t="s">
        <v>89</v>
      </c>
      <c r="B47" s="106" t="s">
        <v>113</v>
      </c>
      <c r="C47" s="103" t="s">
        <v>67</v>
      </c>
      <c r="D47" s="103" t="s">
        <v>61</v>
      </c>
      <c r="E47" s="103">
        <v>2346.0</v>
      </c>
      <c r="F47" s="66">
        <v>2.0</v>
      </c>
      <c r="G47" s="66">
        <v>0.0</v>
      </c>
      <c r="H47" s="82">
        <v>44610.0</v>
      </c>
    </row>
    <row r="48">
      <c r="A48" s="104" t="s">
        <v>89</v>
      </c>
      <c r="B48" s="106" t="s">
        <v>113</v>
      </c>
      <c r="C48" s="103" t="s">
        <v>67</v>
      </c>
      <c r="D48" s="103" t="s">
        <v>61</v>
      </c>
      <c r="E48" s="103">
        <v>2347.0</v>
      </c>
      <c r="F48" s="66">
        <v>2.0</v>
      </c>
      <c r="G48" s="66">
        <v>0.0</v>
      </c>
      <c r="H48" s="82">
        <v>44610.0</v>
      </c>
    </row>
    <row r="49">
      <c r="A49" s="104" t="s">
        <v>89</v>
      </c>
      <c r="B49" s="106" t="s">
        <v>113</v>
      </c>
      <c r="C49" s="103" t="s">
        <v>67</v>
      </c>
      <c r="D49" s="103" t="s">
        <v>61</v>
      </c>
      <c r="E49" s="103">
        <v>2348.0</v>
      </c>
      <c r="F49" s="66">
        <v>1.0</v>
      </c>
      <c r="G49" s="66">
        <v>0.0</v>
      </c>
      <c r="H49" s="82">
        <v>44610.0</v>
      </c>
    </row>
    <row r="50">
      <c r="A50" s="104" t="s">
        <v>89</v>
      </c>
      <c r="B50" s="106" t="s">
        <v>113</v>
      </c>
      <c r="C50" s="103" t="s">
        <v>67</v>
      </c>
      <c r="D50" s="103" t="s">
        <v>61</v>
      </c>
      <c r="E50" s="103">
        <v>2349.0</v>
      </c>
      <c r="F50" s="66">
        <v>1.0</v>
      </c>
      <c r="G50" s="66">
        <v>0.0</v>
      </c>
      <c r="H50" s="82">
        <v>44610.0</v>
      </c>
    </row>
    <row r="51">
      <c r="A51" s="104" t="s">
        <v>89</v>
      </c>
      <c r="B51" s="106" t="s">
        <v>113</v>
      </c>
      <c r="C51" s="103" t="s">
        <v>67</v>
      </c>
      <c r="D51" s="103" t="s">
        <v>61</v>
      </c>
      <c r="E51" s="103">
        <v>2350.0</v>
      </c>
      <c r="F51" s="66">
        <v>1.0</v>
      </c>
      <c r="G51" s="66">
        <v>0.0</v>
      </c>
      <c r="H51" s="82">
        <v>44610.0</v>
      </c>
    </row>
    <row r="52">
      <c r="A52" s="104" t="s">
        <v>89</v>
      </c>
      <c r="B52" s="106" t="s">
        <v>113</v>
      </c>
      <c r="C52" s="103" t="s">
        <v>67</v>
      </c>
      <c r="D52" s="103" t="s">
        <v>61</v>
      </c>
      <c r="E52" s="103">
        <v>2351.0</v>
      </c>
      <c r="F52" s="66">
        <v>1.0</v>
      </c>
      <c r="G52" s="66">
        <v>0.0</v>
      </c>
      <c r="H52" s="82">
        <v>44610.0</v>
      </c>
    </row>
    <row r="53">
      <c r="A53" s="104" t="s">
        <v>89</v>
      </c>
      <c r="B53" s="106" t="s">
        <v>113</v>
      </c>
      <c r="C53" s="104" t="s">
        <v>75</v>
      </c>
      <c r="D53" s="104" t="s">
        <v>61</v>
      </c>
      <c r="E53" s="104">
        <v>2375.0</v>
      </c>
    </row>
    <row r="54">
      <c r="A54" s="104" t="s">
        <v>89</v>
      </c>
      <c r="B54" s="106" t="s">
        <v>134</v>
      </c>
      <c r="C54" s="103" t="s">
        <v>77</v>
      </c>
      <c r="D54" s="103" t="s">
        <v>61</v>
      </c>
      <c r="E54" s="103">
        <v>2310.0</v>
      </c>
      <c r="F54" s="66">
        <v>1.0</v>
      </c>
      <c r="G54" s="66">
        <v>0.0</v>
      </c>
      <c r="H54" s="82">
        <v>44612.0</v>
      </c>
    </row>
    <row r="55">
      <c r="A55" s="104" t="s">
        <v>89</v>
      </c>
      <c r="B55" s="106" t="s">
        <v>134</v>
      </c>
      <c r="C55" s="103" t="s">
        <v>77</v>
      </c>
      <c r="D55" s="103" t="s">
        <v>61</v>
      </c>
      <c r="E55" s="103">
        <v>2311.0</v>
      </c>
      <c r="F55" s="66">
        <v>0.0</v>
      </c>
      <c r="G55" s="66">
        <v>0.0</v>
      </c>
      <c r="H55" s="82">
        <v>44612.0</v>
      </c>
    </row>
    <row r="56">
      <c r="A56" s="104" t="s">
        <v>89</v>
      </c>
      <c r="B56" s="106" t="s">
        <v>134</v>
      </c>
      <c r="C56" s="103" t="s">
        <v>77</v>
      </c>
      <c r="D56" s="103" t="s">
        <v>61</v>
      </c>
      <c r="E56" s="103">
        <v>2312.0</v>
      </c>
      <c r="F56" s="66">
        <v>0.0</v>
      </c>
      <c r="G56" s="66">
        <v>1.0</v>
      </c>
      <c r="H56" s="82">
        <v>44612.0</v>
      </c>
    </row>
    <row r="57">
      <c r="A57" s="104" t="s">
        <v>89</v>
      </c>
      <c r="B57" s="106" t="s">
        <v>134</v>
      </c>
      <c r="C57" s="103" t="s">
        <v>77</v>
      </c>
      <c r="D57" s="103" t="s">
        <v>61</v>
      </c>
      <c r="E57" s="103">
        <v>2313.0</v>
      </c>
      <c r="F57" s="66">
        <v>4.0</v>
      </c>
      <c r="G57" s="66">
        <v>0.0</v>
      </c>
      <c r="H57" s="82">
        <v>44612.0</v>
      </c>
    </row>
    <row r="58">
      <c r="A58" s="104" t="s">
        <v>89</v>
      </c>
      <c r="B58" s="106" t="s">
        <v>134</v>
      </c>
      <c r="C58" s="103" t="s">
        <v>77</v>
      </c>
      <c r="D58" s="103" t="s">
        <v>61</v>
      </c>
      <c r="E58" s="103">
        <v>2314.0</v>
      </c>
      <c r="F58" s="66">
        <v>1.0</v>
      </c>
      <c r="G58" s="66">
        <v>0.0</v>
      </c>
      <c r="H58" s="82">
        <v>44612.0</v>
      </c>
    </row>
    <row r="59">
      <c r="A59" s="104" t="s">
        <v>89</v>
      </c>
      <c r="B59" s="106" t="s">
        <v>134</v>
      </c>
      <c r="C59" s="103" t="s">
        <v>77</v>
      </c>
      <c r="D59" s="103" t="s">
        <v>56</v>
      </c>
      <c r="E59" s="103">
        <v>2315.0</v>
      </c>
    </row>
    <row r="60">
      <c r="A60" s="104" t="s">
        <v>89</v>
      </c>
      <c r="B60" s="106" t="s">
        <v>134</v>
      </c>
      <c r="C60" s="103" t="s">
        <v>77</v>
      </c>
      <c r="D60" s="103" t="s">
        <v>61</v>
      </c>
      <c r="E60" s="103">
        <v>2316.0</v>
      </c>
    </row>
    <row r="61">
      <c r="A61" s="104" t="s">
        <v>89</v>
      </c>
      <c r="B61" s="106" t="s">
        <v>134</v>
      </c>
      <c r="C61" s="103" t="s">
        <v>77</v>
      </c>
      <c r="D61" s="103" t="s">
        <v>61</v>
      </c>
      <c r="E61" s="103">
        <v>2317.0</v>
      </c>
      <c r="F61" s="66">
        <v>2.0</v>
      </c>
      <c r="G61" s="66">
        <v>0.0</v>
      </c>
      <c r="H61" s="82">
        <v>44612.0</v>
      </c>
    </row>
    <row r="62">
      <c r="A62" s="104" t="s">
        <v>89</v>
      </c>
      <c r="B62" s="106" t="s">
        <v>134</v>
      </c>
      <c r="C62" s="103" t="s">
        <v>77</v>
      </c>
      <c r="D62" s="103" t="s">
        <v>61</v>
      </c>
      <c r="E62" s="103">
        <v>2318.0</v>
      </c>
      <c r="F62" s="66">
        <v>1.0</v>
      </c>
      <c r="G62" s="66">
        <v>0.0</v>
      </c>
      <c r="H62" s="82">
        <v>44612.0</v>
      </c>
    </row>
    <row r="63">
      <c r="A63" s="104" t="s">
        <v>89</v>
      </c>
      <c r="B63" s="106" t="s">
        <v>134</v>
      </c>
      <c r="C63" s="103" t="s">
        <v>77</v>
      </c>
      <c r="D63" s="103" t="s">
        <v>61</v>
      </c>
      <c r="E63" s="103">
        <v>2319.0</v>
      </c>
      <c r="F63" s="66">
        <v>2.0</v>
      </c>
      <c r="G63" s="66">
        <v>0.0</v>
      </c>
      <c r="H63" s="82">
        <v>44612.0</v>
      </c>
    </row>
    <row r="64">
      <c r="A64" s="104" t="s">
        <v>89</v>
      </c>
      <c r="B64" s="106" t="s">
        <v>134</v>
      </c>
      <c r="C64" s="103" t="s">
        <v>77</v>
      </c>
      <c r="D64" s="103" t="s">
        <v>56</v>
      </c>
      <c r="E64" s="103">
        <v>2320.0</v>
      </c>
    </row>
    <row r="65">
      <c r="A65" s="104" t="s">
        <v>89</v>
      </c>
      <c r="B65" s="106" t="s">
        <v>134</v>
      </c>
      <c r="C65" s="103" t="s">
        <v>77</v>
      </c>
      <c r="D65" s="103" t="s">
        <v>61</v>
      </c>
      <c r="E65" s="103">
        <v>2321.0</v>
      </c>
      <c r="F65" s="66">
        <v>1.0</v>
      </c>
      <c r="G65" s="66">
        <v>0.0</v>
      </c>
      <c r="H65" s="82">
        <v>44612.0</v>
      </c>
    </row>
    <row r="66">
      <c r="A66" s="104" t="s">
        <v>89</v>
      </c>
      <c r="B66" s="106" t="s">
        <v>134</v>
      </c>
      <c r="C66" s="103" t="s">
        <v>77</v>
      </c>
      <c r="D66" s="103" t="s">
        <v>56</v>
      </c>
      <c r="E66" s="103">
        <v>2322.0</v>
      </c>
    </row>
    <row r="67">
      <c r="A67" s="104" t="s">
        <v>89</v>
      </c>
      <c r="B67" s="106" t="s">
        <v>134</v>
      </c>
      <c r="C67" s="103" t="s">
        <v>77</v>
      </c>
      <c r="D67" s="103" t="s">
        <v>56</v>
      </c>
      <c r="E67" s="103">
        <v>2323.0</v>
      </c>
    </row>
    <row r="68">
      <c r="A68" s="104" t="s">
        <v>89</v>
      </c>
      <c r="B68" s="106" t="s">
        <v>134</v>
      </c>
      <c r="C68" s="103" t="s">
        <v>77</v>
      </c>
      <c r="D68" s="103" t="s">
        <v>61</v>
      </c>
      <c r="E68" s="103">
        <v>2324.0</v>
      </c>
      <c r="F68" s="66">
        <v>0.0</v>
      </c>
      <c r="G68" s="66">
        <v>0.0</v>
      </c>
      <c r="H68" s="82">
        <v>44612.0</v>
      </c>
    </row>
    <row r="69">
      <c r="A69" s="104" t="s">
        <v>89</v>
      </c>
      <c r="B69" s="106" t="s">
        <v>134</v>
      </c>
      <c r="C69" s="103" t="s">
        <v>77</v>
      </c>
      <c r="D69" s="103" t="s">
        <v>61</v>
      </c>
      <c r="E69" s="103">
        <v>2325.0</v>
      </c>
      <c r="F69" s="66">
        <v>1.0</v>
      </c>
      <c r="G69" s="66">
        <v>0.0</v>
      </c>
      <c r="H69" s="82">
        <v>44612.0</v>
      </c>
    </row>
    <row r="70">
      <c r="A70" s="104" t="s">
        <v>89</v>
      </c>
      <c r="B70" s="106" t="s">
        <v>134</v>
      </c>
      <c r="C70" s="103" t="s">
        <v>77</v>
      </c>
      <c r="D70" s="103" t="s">
        <v>61</v>
      </c>
      <c r="E70" s="103">
        <v>2327.0</v>
      </c>
      <c r="F70" s="66">
        <v>0.0</v>
      </c>
      <c r="G70" s="66">
        <v>1.0</v>
      </c>
      <c r="H70" s="82">
        <v>44612.0</v>
      </c>
    </row>
    <row r="71">
      <c r="A71" s="104" t="s">
        <v>89</v>
      </c>
      <c r="B71" s="106" t="s">
        <v>134</v>
      </c>
      <c r="C71" s="103" t="s">
        <v>77</v>
      </c>
      <c r="D71" s="103" t="s">
        <v>61</v>
      </c>
      <c r="E71" s="103">
        <v>2326.0</v>
      </c>
      <c r="F71" s="66">
        <v>0.0</v>
      </c>
      <c r="G71" s="66">
        <v>1.0</v>
      </c>
      <c r="H71" s="82">
        <v>44612.0</v>
      </c>
    </row>
    <row r="72">
      <c r="A72" s="104" t="s">
        <v>89</v>
      </c>
      <c r="B72" s="106" t="s">
        <v>134</v>
      </c>
      <c r="C72" s="103" t="s">
        <v>77</v>
      </c>
      <c r="D72" s="103" t="s">
        <v>56</v>
      </c>
      <c r="E72" s="103">
        <v>2328.0</v>
      </c>
    </row>
    <row r="73">
      <c r="A73" s="104" t="s">
        <v>89</v>
      </c>
      <c r="B73" s="106" t="s">
        <v>134</v>
      </c>
      <c r="C73" s="103" t="s">
        <v>77</v>
      </c>
      <c r="D73" s="103" t="s">
        <v>61</v>
      </c>
      <c r="E73" s="103">
        <v>2329.0</v>
      </c>
      <c r="F73" s="66">
        <v>0.0</v>
      </c>
      <c r="G73" s="66">
        <v>0.0</v>
      </c>
      <c r="H73" s="82">
        <v>44612.0</v>
      </c>
    </row>
    <row r="74">
      <c r="A74" s="104" t="s">
        <v>89</v>
      </c>
      <c r="B74" s="106" t="s">
        <v>134</v>
      </c>
      <c r="C74" s="103" t="s">
        <v>77</v>
      </c>
      <c r="D74" s="103" t="s">
        <v>61</v>
      </c>
      <c r="E74" s="103">
        <v>2330.0</v>
      </c>
      <c r="F74" s="66">
        <v>3.0</v>
      </c>
      <c r="G74" s="66">
        <v>0.0</v>
      </c>
      <c r="H74" s="82">
        <v>44612.0</v>
      </c>
    </row>
    <row r="75">
      <c r="A75" s="104" t="s">
        <v>89</v>
      </c>
      <c r="B75" s="106" t="s">
        <v>134</v>
      </c>
      <c r="C75" s="103" t="s">
        <v>77</v>
      </c>
      <c r="D75" s="103" t="s">
        <v>56</v>
      </c>
      <c r="E75" s="103">
        <v>2331.0</v>
      </c>
    </row>
    <row r="76">
      <c r="A76" s="104" t="s">
        <v>89</v>
      </c>
      <c r="B76" s="106" t="s">
        <v>134</v>
      </c>
      <c r="C76" s="103" t="s">
        <v>77</v>
      </c>
      <c r="D76" s="103" t="s">
        <v>61</v>
      </c>
      <c r="E76" s="103">
        <v>2332.0</v>
      </c>
      <c r="F76" s="66">
        <v>1.0</v>
      </c>
      <c r="G76" s="66">
        <v>0.0</v>
      </c>
      <c r="H76" s="82">
        <v>44612.0</v>
      </c>
    </row>
    <row r="77">
      <c r="A77" s="104" t="s">
        <v>89</v>
      </c>
      <c r="B77" s="106" t="s">
        <v>134</v>
      </c>
      <c r="C77" s="103" t="s">
        <v>77</v>
      </c>
      <c r="D77" s="103" t="s">
        <v>61</v>
      </c>
      <c r="E77" s="103">
        <v>2333.0</v>
      </c>
      <c r="F77" s="66">
        <v>1.0</v>
      </c>
      <c r="G77" s="66">
        <v>0.0</v>
      </c>
      <c r="H77" s="82">
        <v>44612.0</v>
      </c>
    </row>
    <row r="78">
      <c r="A78" s="104" t="s">
        <v>89</v>
      </c>
      <c r="B78" s="106" t="s">
        <v>134</v>
      </c>
      <c r="C78" s="111" t="s">
        <v>77</v>
      </c>
      <c r="D78" s="112" t="s">
        <v>61</v>
      </c>
      <c r="E78" s="103">
        <v>2334.0</v>
      </c>
      <c r="F78" s="66">
        <v>1.0</v>
      </c>
      <c r="G78" s="66">
        <v>0.0</v>
      </c>
      <c r="H78" s="82">
        <v>44612.0</v>
      </c>
    </row>
    <row r="79">
      <c r="A79" s="104" t="s">
        <v>89</v>
      </c>
      <c r="B79" s="106" t="s">
        <v>134</v>
      </c>
      <c r="C79" s="103" t="s">
        <v>77</v>
      </c>
      <c r="D79" s="103" t="s">
        <v>61</v>
      </c>
      <c r="E79" s="103">
        <v>2336.0</v>
      </c>
      <c r="F79" s="66">
        <v>0.0</v>
      </c>
      <c r="G79" s="66">
        <v>0.0</v>
      </c>
      <c r="H79" s="82">
        <v>44612.0</v>
      </c>
    </row>
    <row r="80">
      <c r="A80" s="104" t="s">
        <v>89</v>
      </c>
      <c r="B80" s="106" t="s">
        <v>134</v>
      </c>
      <c r="C80" s="103" t="s">
        <v>77</v>
      </c>
      <c r="D80" s="103" t="s">
        <v>61</v>
      </c>
      <c r="E80" s="103">
        <v>2335.0</v>
      </c>
      <c r="F80" s="66">
        <v>0.0</v>
      </c>
      <c r="G80" s="66">
        <v>0.0</v>
      </c>
      <c r="H80" s="82">
        <v>44612.0</v>
      </c>
    </row>
    <row r="81">
      <c r="A81" s="104" t="s">
        <v>89</v>
      </c>
      <c r="B81" s="106" t="s">
        <v>134</v>
      </c>
      <c r="C81" s="104" t="s">
        <v>78</v>
      </c>
      <c r="D81" s="104" t="s">
        <v>61</v>
      </c>
      <c r="E81" s="104">
        <v>2374.0</v>
      </c>
    </row>
    <row r="82">
      <c r="A82" s="104" t="s">
        <v>89</v>
      </c>
      <c r="B82" s="106" t="s">
        <v>113</v>
      </c>
      <c r="C82" s="103" t="s">
        <v>79</v>
      </c>
      <c r="D82" s="103" t="s">
        <v>56</v>
      </c>
      <c r="E82" s="109">
        <v>2301.0</v>
      </c>
    </row>
    <row r="83">
      <c r="A83" s="104" t="s">
        <v>89</v>
      </c>
      <c r="B83" s="106" t="s">
        <v>113</v>
      </c>
      <c r="C83" s="103" t="s">
        <v>79</v>
      </c>
      <c r="D83" s="103" t="s">
        <v>61</v>
      </c>
      <c r="E83" s="103">
        <v>2302.0</v>
      </c>
      <c r="F83" s="66">
        <v>0.0</v>
      </c>
      <c r="G83" s="66">
        <v>0.0</v>
      </c>
      <c r="H83" s="82">
        <v>44612.0</v>
      </c>
    </row>
    <row r="84">
      <c r="A84" s="104" t="s">
        <v>89</v>
      </c>
      <c r="B84" s="106" t="s">
        <v>113</v>
      </c>
      <c r="C84" s="103" t="s">
        <v>79</v>
      </c>
      <c r="D84" s="103" t="s">
        <v>61</v>
      </c>
      <c r="E84" s="103">
        <v>2303.0</v>
      </c>
      <c r="F84" s="66">
        <v>0.0</v>
      </c>
      <c r="G84" s="66">
        <v>0.0</v>
      </c>
      <c r="H84" s="82">
        <v>44612.0</v>
      </c>
    </row>
    <row r="85">
      <c r="A85" s="104" t="s">
        <v>89</v>
      </c>
      <c r="B85" s="106" t="s">
        <v>113</v>
      </c>
      <c r="C85" s="103" t="s">
        <v>79</v>
      </c>
      <c r="D85" s="103" t="s">
        <v>61</v>
      </c>
      <c r="E85" s="103">
        <v>2304.0</v>
      </c>
      <c r="F85" s="66">
        <v>0.0</v>
      </c>
      <c r="G85" s="66">
        <v>0.0</v>
      </c>
      <c r="H85" s="82">
        <v>44612.0</v>
      </c>
    </row>
    <row r="86">
      <c r="A86" s="104" t="s">
        <v>89</v>
      </c>
      <c r="B86" s="106" t="s">
        <v>113</v>
      </c>
      <c r="C86" s="103" t="s">
        <v>79</v>
      </c>
      <c r="D86" s="103" t="s">
        <v>61</v>
      </c>
      <c r="E86" s="103">
        <v>2305.0</v>
      </c>
      <c r="F86" s="66">
        <v>0.0</v>
      </c>
      <c r="G86" s="66">
        <v>1.0</v>
      </c>
      <c r="H86" s="82">
        <v>44612.0</v>
      </c>
    </row>
    <row r="87">
      <c r="A87" s="104" t="s">
        <v>89</v>
      </c>
      <c r="B87" s="106" t="s">
        <v>113</v>
      </c>
      <c r="C87" s="103" t="s">
        <v>79</v>
      </c>
      <c r="D87" s="103" t="s">
        <v>61</v>
      </c>
      <c r="E87" s="103">
        <v>2306.0</v>
      </c>
      <c r="F87" s="66">
        <v>1.0</v>
      </c>
      <c r="G87" s="66">
        <v>0.0</v>
      </c>
      <c r="H87" s="82">
        <v>44612.0</v>
      </c>
    </row>
    <row r="88">
      <c r="A88" s="104" t="s">
        <v>89</v>
      </c>
      <c r="B88" s="106" t="s">
        <v>113</v>
      </c>
      <c r="C88" s="103" t="s">
        <v>79</v>
      </c>
      <c r="D88" s="103" t="s">
        <v>61</v>
      </c>
      <c r="E88" s="103">
        <v>2307.0</v>
      </c>
      <c r="F88" s="66">
        <v>0.0</v>
      </c>
      <c r="G88" s="66">
        <v>0.0</v>
      </c>
      <c r="H88" s="82">
        <v>44612.0</v>
      </c>
    </row>
    <row r="89">
      <c r="A89" s="104" t="s">
        <v>89</v>
      </c>
      <c r="B89" s="106" t="s">
        <v>113</v>
      </c>
      <c r="C89" s="103" t="s">
        <v>79</v>
      </c>
      <c r="D89" s="103" t="s">
        <v>61</v>
      </c>
      <c r="E89" s="103">
        <v>2308.0</v>
      </c>
      <c r="F89" s="66">
        <v>3.0</v>
      </c>
      <c r="G89" s="66">
        <v>0.0</v>
      </c>
      <c r="H89" s="82">
        <v>44612.0</v>
      </c>
    </row>
    <row r="90">
      <c r="A90" s="104" t="s">
        <v>89</v>
      </c>
      <c r="B90" s="106" t="s">
        <v>113</v>
      </c>
      <c r="C90" s="103" t="s">
        <v>79</v>
      </c>
      <c r="D90" s="103" t="s">
        <v>61</v>
      </c>
      <c r="E90" s="103">
        <v>2309.0</v>
      </c>
      <c r="F90" s="66">
        <v>0.0</v>
      </c>
      <c r="G90" s="66">
        <v>0.0</v>
      </c>
      <c r="H90" s="82">
        <v>44612.0</v>
      </c>
    </row>
    <row r="91">
      <c r="A91" s="104" t="s">
        <v>89</v>
      </c>
      <c r="B91" s="106" t="s">
        <v>91</v>
      </c>
      <c r="C91" s="113" t="s">
        <v>81</v>
      </c>
      <c r="D91" s="114" t="s">
        <v>61</v>
      </c>
      <c r="E91" s="115">
        <v>2370.0</v>
      </c>
    </row>
    <row r="92">
      <c r="A92" s="104" t="s">
        <v>89</v>
      </c>
      <c r="B92" s="106" t="s">
        <v>91</v>
      </c>
      <c r="C92" s="113" t="s">
        <v>82</v>
      </c>
      <c r="D92" s="114" t="s">
        <v>61</v>
      </c>
      <c r="E92" s="115">
        <v>2371.0</v>
      </c>
    </row>
    <row r="93">
      <c r="A93" s="104" t="s">
        <v>89</v>
      </c>
      <c r="B93" s="106" t="s">
        <v>91</v>
      </c>
      <c r="C93" s="113" t="s">
        <v>83</v>
      </c>
      <c r="D93" s="114" t="s">
        <v>61</v>
      </c>
      <c r="E93" s="115">
        <v>2372.0</v>
      </c>
    </row>
    <row r="94">
      <c r="A94" s="104" t="s">
        <v>89</v>
      </c>
      <c r="B94" s="106" t="s">
        <v>91</v>
      </c>
      <c r="C94" s="113" t="s">
        <v>85</v>
      </c>
      <c r="D94" s="114" t="s">
        <v>61</v>
      </c>
      <c r="E94" s="115">
        <v>2373.0</v>
      </c>
    </row>
    <row r="95">
      <c r="A95" s="111"/>
      <c r="B95" s="106" t="s">
        <v>58</v>
      </c>
      <c r="C95" s="111" t="s">
        <v>87</v>
      </c>
      <c r="D95" s="112" t="s">
        <v>61</v>
      </c>
      <c r="E95" s="112"/>
    </row>
    <row r="96">
      <c r="A96" s="111"/>
      <c r="B96" s="106" t="s">
        <v>58</v>
      </c>
      <c r="C96" s="111" t="s">
        <v>87</v>
      </c>
      <c r="D96" s="112" t="s">
        <v>61</v>
      </c>
      <c r="E96" s="112"/>
    </row>
    <row r="97">
      <c r="A97" s="111"/>
      <c r="B97" s="106" t="s">
        <v>58</v>
      </c>
      <c r="C97" s="111" t="s">
        <v>87</v>
      </c>
      <c r="D97" s="112" t="s">
        <v>61</v>
      </c>
      <c r="E97" s="112"/>
    </row>
    <row r="98">
      <c r="A98" s="111"/>
      <c r="B98" s="106" t="s">
        <v>58</v>
      </c>
      <c r="C98" s="111" t="s">
        <v>87</v>
      </c>
      <c r="D98" s="112" t="s">
        <v>61</v>
      </c>
      <c r="E98" s="112"/>
    </row>
    <row r="99">
      <c r="A99" s="111"/>
      <c r="B99" s="106" t="s">
        <v>58</v>
      </c>
      <c r="C99" s="111" t="s">
        <v>87</v>
      </c>
      <c r="D99" s="112" t="s">
        <v>61</v>
      </c>
      <c r="E99" s="112"/>
    </row>
    <row r="100">
      <c r="A100" s="111"/>
      <c r="B100" s="106" t="s">
        <v>58</v>
      </c>
      <c r="C100" s="111" t="s">
        <v>88</v>
      </c>
      <c r="D100" s="112" t="s">
        <v>61</v>
      </c>
      <c r="E100" s="112"/>
    </row>
    <row r="101">
      <c r="A101" s="111"/>
      <c r="B101" s="106" t="s">
        <v>58</v>
      </c>
      <c r="C101" s="111" t="s">
        <v>88</v>
      </c>
      <c r="D101" s="112" t="s">
        <v>61</v>
      </c>
      <c r="E101" s="112"/>
    </row>
    <row r="102">
      <c r="A102" s="111"/>
      <c r="B102" s="106" t="s">
        <v>58</v>
      </c>
      <c r="C102" s="111" t="s">
        <v>88</v>
      </c>
      <c r="D102" s="112" t="s">
        <v>61</v>
      </c>
      <c r="E102" s="112"/>
    </row>
    <row r="103">
      <c r="A103" s="111"/>
      <c r="B103" s="106" t="s">
        <v>58</v>
      </c>
      <c r="C103" s="111" t="s">
        <v>88</v>
      </c>
      <c r="D103" s="112" t="s">
        <v>61</v>
      </c>
      <c r="E103" s="112"/>
    </row>
    <row r="104">
      <c r="A104" s="111"/>
      <c r="B104" s="106" t="s">
        <v>58</v>
      </c>
      <c r="C104" s="111" t="s">
        <v>88</v>
      </c>
      <c r="D104" s="112" t="s">
        <v>61</v>
      </c>
      <c r="E104" s="112"/>
    </row>
    <row r="105">
      <c r="A105" s="103"/>
      <c r="B105" s="106" t="s">
        <v>58</v>
      </c>
      <c r="C105" s="103" t="s">
        <v>89</v>
      </c>
      <c r="D105" s="103" t="s">
        <v>56</v>
      </c>
      <c r="E105" s="103"/>
    </row>
    <row r="106">
      <c r="A106" s="103"/>
      <c r="B106" s="106" t="s">
        <v>58</v>
      </c>
      <c r="C106" s="103" t="s">
        <v>89</v>
      </c>
      <c r="D106" s="103" t="s">
        <v>56</v>
      </c>
      <c r="E106" s="103"/>
    </row>
    <row r="107">
      <c r="A107" s="113" t="s">
        <v>89</v>
      </c>
      <c r="B107" s="106" t="s">
        <v>91</v>
      </c>
      <c r="C107" s="111" t="s">
        <v>303</v>
      </c>
      <c r="D107" s="112" t="s">
        <v>61</v>
      </c>
      <c r="E107" s="116">
        <v>2381.0</v>
      </c>
    </row>
    <row r="108">
      <c r="A108" s="113" t="s">
        <v>89</v>
      </c>
      <c r="B108" s="106" t="s">
        <v>58</v>
      </c>
      <c r="C108" s="111" t="s">
        <v>303</v>
      </c>
      <c r="D108" s="112" t="s">
        <v>61</v>
      </c>
      <c r="E108" s="116"/>
    </row>
    <row r="109">
      <c r="A109" s="113" t="s">
        <v>89</v>
      </c>
      <c r="B109" s="106" t="s">
        <v>58</v>
      </c>
      <c r="C109" s="111" t="s">
        <v>303</v>
      </c>
      <c r="D109" s="112" t="s">
        <v>61</v>
      </c>
      <c r="E109" s="116"/>
    </row>
    <row r="110">
      <c r="A110" s="113" t="s">
        <v>89</v>
      </c>
      <c r="B110" s="106" t="s">
        <v>91</v>
      </c>
      <c r="C110" s="111" t="s">
        <v>303</v>
      </c>
      <c r="D110" s="112" t="s">
        <v>61</v>
      </c>
      <c r="E110" s="116">
        <v>2382.0</v>
      </c>
    </row>
    <row r="111">
      <c r="A111" s="113" t="s">
        <v>89</v>
      </c>
      <c r="B111" s="106" t="s">
        <v>91</v>
      </c>
      <c r="C111" s="111" t="s">
        <v>303</v>
      </c>
      <c r="D111" s="114" t="s">
        <v>61</v>
      </c>
      <c r="E111" s="117">
        <v>2383.0</v>
      </c>
    </row>
    <row r="112">
      <c r="A112" s="113" t="s">
        <v>89</v>
      </c>
      <c r="B112" s="106" t="s">
        <v>91</v>
      </c>
      <c r="C112" s="111" t="s">
        <v>303</v>
      </c>
      <c r="D112" s="114" t="s">
        <v>61</v>
      </c>
      <c r="E112" s="66">
        <v>2384.0</v>
      </c>
    </row>
    <row r="113">
      <c r="A113" s="66" t="s">
        <v>104</v>
      </c>
      <c r="B113" s="106" t="s">
        <v>107</v>
      </c>
      <c r="C113" s="66" t="s">
        <v>104</v>
      </c>
      <c r="D113" s="114" t="s">
        <v>61</v>
      </c>
      <c r="E113" s="66">
        <v>2004.0</v>
      </c>
    </row>
    <row r="114">
      <c r="A114" s="66" t="s">
        <v>104</v>
      </c>
      <c r="B114" s="106" t="s">
        <v>107</v>
      </c>
      <c r="C114" s="66" t="s">
        <v>104</v>
      </c>
      <c r="D114" s="114" t="s">
        <v>61</v>
      </c>
      <c r="E114" s="66">
        <v>2005.0</v>
      </c>
    </row>
    <row r="115">
      <c r="A115" s="66" t="s">
        <v>104</v>
      </c>
      <c r="B115" s="106" t="s">
        <v>107</v>
      </c>
      <c r="C115" s="66" t="s">
        <v>104</v>
      </c>
      <c r="D115" s="114" t="s">
        <v>61</v>
      </c>
      <c r="E115" s="66">
        <v>2006.0</v>
      </c>
    </row>
    <row r="116">
      <c r="A116" s="66" t="s">
        <v>104</v>
      </c>
      <c r="B116" s="106" t="s">
        <v>107</v>
      </c>
      <c r="C116" s="66" t="s">
        <v>104</v>
      </c>
      <c r="D116" s="114" t="s">
        <v>61</v>
      </c>
      <c r="E116" s="66">
        <v>2007.0</v>
      </c>
    </row>
    <row r="117">
      <c r="A117" s="66" t="s">
        <v>89</v>
      </c>
      <c r="B117" s="106" t="s">
        <v>143</v>
      </c>
      <c r="C117" s="66" t="s">
        <v>96</v>
      </c>
      <c r="D117" s="114" t="s">
        <v>160</v>
      </c>
      <c r="E117" s="66" t="s">
        <v>165</v>
      </c>
    </row>
    <row r="118">
      <c r="A118" s="66" t="s">
        <v>124</v>
      </c>
      <c r="B118" s="106" t="s">
        <v>124</v>
      </c>
      <c r="C118" s="66" t="s">
        <v>124</v>
      </c>
      <c r="D118" s="114" t="s">
        <v>160</v>
      </c>
      <c r="E118" s="66" t="s">
        <v>161</v>
      </c>
    </row>
    <row r="119">
      <c r="A119" s="66" t="s">
        <v>104</v>
      </c>
      <c r="B119" s="106" t="s">
        <v>107</v>
      </c>
      <c r="C119" s="66" t="s">
        <v>104</v>
      </c>
      <c r="D119" s="114" t="s">
        <v>160</v>
      </c>
      <c r="E119" s="66" t="s">
        <v>163</v>
      </c>
    </row>
    <row r="120">
      <c r="A120" s="66" t="s">
        <v>89</v>
      </c>
      <c r="B120" s="106" t="s">
        <v>143</v>
      </c>
      <c r="C120" s="66" t="s">
        <v>96</v>
      </c>
      <c r="D120" s="114" t="s">
        <v>95</v>
      </c>
      <c r="E120" s="66" t="s">
        <v>164</v>
      </c>
    </row>
    <row r="121">
      <c r="A121" s="66" t="s">
        <v>124</v>
      </c>
      <c r="B121" s="106" t="s">
        <v>124</v>
      </c>
      <c r="C121" s="66" t="s">
        <v>124</v>
      </c>
      <c r="D121" s="114" t="s">
        <v>95</v>
      </c>
      <c r="E121" s="66" t="s">
        <v>159</v>
      </c>
    </row>
    <row r="122">
      <c r="A122" s="66" t="s">
        <v>104</v>
      </c>
      <c r="B122" s="106" t="s">
        <v>107</v>
      </c>
      <c r="C122" s="66" t="s">
        <v>104</v>
      </c>
      <c r="D122" s="114" t="s">
        <v>95</v>
      </c>
      <c r="E122" s="66" t="s">
        <v>162</v>
      </c>
    </row>
    <row r="123">
      <c r="A123" s="66" t="s">
        <v>98</v>
      </c>
      <c r="B123" s="106" t="s">
        <v>105</v>
      </c>
      <c r="C123" s="66" t="s">
        <v>304</v>
      </c>
      <c r="D123" s="114" t="s">
        <v>56</v>
      </c>
      <c r="E123" s="66">
        <v>2093.0</v>
      </c>
    </row>
    <row r="124">
      <c r="A124" s="66" t="s">
        <v>98</v>
      </c>
      <c r="B124" s="106" t="s">
        <v>105</v>
      </c>
      <c r="C124" s="66" t="s">
        <v>304</v>
      </c>
      <c r="D124" s="114" t="s">
        <v>56</v>
      </c>
      <c r="E124" s="66">
        <v>2092.0</v>
      </c>
    </row>
    <row r="125">
      <c r="A125" s="66" t="s">
        <v>98</v>
      </c>
      <c r="B125" s="106" t="s">
        <v>105</v>
      </c>
      <c r="C125" s="66" t="s">
        <v>304</v>
      </c>
      <c r="D125" s="114" t="s">
        <v>56</v>
      </c>
      <c r="E125" s="66">
        <v>2091.0</v>
      </c>
    </row>
    <row r="126">
      <c r="A126" s="66" t="s">
        <v>98</v>
      </c>
      <c r="B126" s="106" t="s">
        <v>105</v>
      </c>
      <c r="C126" s="66" t="s">
        <v>304</v>
      </c>
      <c r="D126" s="114" t="s">
        <v>61</v>
      </c>
      <c r="E126" s="66">
        <v>2090.0</v>
      </c>
    </row>
    <row r="127">
      <c r="A127" s="66" t="s">
        <v>98</v>
      </c>
      <c r="B127" s="106" t="s">
        <v>105</v>
      </c>
      <c r="C127" s="66" t="s">
        <v>304</v>
      </c>
      <c r="D127" s="114" t="s">
        <v>56</v>
      </c>
      <c r="E127" s="66">
        <v>2089.0</v>
      </c>
    </row>
    <row r="128">
      <c r="A128" s="66" t="s">
        <v>98</v>
      </c>
      <c r="B128" s="106" t="s">
        <v>105</v>
      </c>
      <c r="C128" s="66" t="s">
        <v>304</v>
      </c>
      <c r="D128" s="114" t="s">
        <v>61</v>
      </c>
      <c r="E128" s="66">
        <v>2088.0</v>
      </c>
    </row>
    <row r="129">
      <c r="A129" s="66" t="s">
        <v>98</v>
      </c>
      <c r="B129" s="106" t="s">
        <v>105</v>
      </c>
      <c r="C129" s="66" t="s">
        <v>304</v>
      </c>
      <c r="D129" s="114" t="s">
        <v>61</v>
      </c>
      <c r="E129" s="66">
        <v>2087.0</v>
      </c>
    </row>
    <row r="130">
      <c r="A130" s="66" t="s">
        <v>98</v>
      </c>
      <c r="B130" s="106" t="s">
        <v>105</v>
      </c>
      <c r="C130" s="66" t="s">
        <v>304</v>
      </c>
      <c r="D130" s="114" t="s">
        <v>61</v>
      </c>
      <c r="E130" s="66">
        <v>2086.0</v>
      </c>
    </row>
    <row r="131">
      <c r="A131" s="66" t="s">
        <v>98</v>
      </c>
      <c r="B131" s="106" t="s">
        <v>105</v>
      </c>
      <c r="C131" s="66" t="s">
        <v>304</v>
      </c>
      <c r="D131" s="114" t="s">
        <v>61</v>
      </c>
      <c r="E131" s="66">
        <v>2085.0</v>
      </c>
    </row>
    <row r="132">
      <c r="A132" s="66" t="s">
        <v>124</v>
      </c>
      <c r="B132" s="106" t="s">
        <v>124</v>
      </c>
      <c r="C132" s="66" t="s">
        <v>124</v>
      </c>
      <c r="D132" s="114" t="s">
        <v>61</v>
      </c>
      <c r="E132" s="66">
        <v>2020.0</v>
      </c>
    </row>
    <row r="133">
      <c r="A133" s="66" t="s">
        <v>124</v>
      </c>
      <c r="B133" s="106" t="s">
        <v>124</v>
      </c>
      <c r="C133" s="66" t="s">
        <v>124</v>
      </c>
      <c r="D133" s="114" t="s">
        <v>61</v>
      </c>
      <c r="E133" s="66">
        <v>2021.0</v>
      </c>
    </row>
    <row r="134">
      <c r="A134" s="66" t="s">
        <v>124</v>
      </c>
      <c r="B134" s="106" t="s">
        <v>124</v>
      </c>
      <c r="C134" s="66" t="s">
        <v>124</v>
      </c>
      <c r="D134" s="114" t="s">
        <v>56</v>
      </c>
      <c r="E134" s="66">
        <v>2022.0</v>
      </c>
    </row>
    <row r="135">
      <c r="A135" s="66" t="s">
        <v>124</v>
      </c>
      <c r="B135" s="106" t="s">
        <v>124</v>
      </c>
      <c r="C135" s="66" t="s">
        <v>124</v>
      </c>
      <c r="D135" s="114" t="s">
        <v>56</v>
      </c>
      <c r="E135" s="66">
        <v>2023.0</v>
      </c>
    </row>
    <row r="136">
      <c r="A136" s="66" t="s">
        <v>124</v>
      </c>
      <c r="B136" s="106" t="s">
        <v>124</v>
      </c>
      <c r="C136" s="66" t="s">
        <v>124</v>
      </c>
      <c r="D136" s="114" t="s">
        <v>61</v>
      </c>
      <c r="E136" s="66">
        <v>2024.0</v>
      </c>
    </row>
    <row r="137">
      <c r="A137" s="66" t="s">
        <v>124</v>
      </c>
      <c r="B137" s="106" t="s">
        <v>124</v>
      </c>
      <c r="C137" s="66" t="s">
        <v>124</v>
      </c>
      <c r="D137" s="114" t="s">
        <v>61</v>
      </c>
      <c r="E137" s="66">
        <v>2025.0</v>
      </c>
    </row>
    <row r="138">
      <c r="A138" s="66" t="s">
        <v>124</v>
      </c>
      <c r="B138" s="106" t="s">
        <v>125</v>
      </c>
      <c r="C138" s="66" t="s">
        <v>305</v>
      </c>
      <c r="D138" s="114" t="s">
        <v>61</v>
      </c>
      <c r="E138" s="66">
        <v>2026.0</v>
      </c>
    </row>
    <row r="139">
      <c r="A139" s="66" t="s">
        <v>124</v>
      </c>
      <c r="B139" s="106" t="s">
        <v>125</v>
      </c>
      <c r="C139" s="66" t="s">
        <v>305</v>
      </c>
      <c r="D139" s="114" t="s">
        <v>61</v>
      </c>
      <c r="E139" s="66">
        <v>2027.0</v>
      </c>
    </row>
    <row r="140">
      <c r="A140" s="66" t="s">
        <v>124</v>
      </c>
      <c r="B140" s="106" t="s">
        <v>125</v>
      </c>
      <c r="C140" s="66" t="s">
        <v>305</v>
      </c>
      <c r="D140" s="114" t="s">
        <v>61</v>
      </c>
      <c r="E140" s="66">
        <v>2028.0</v>
      </c>
    </row>
    <row r="141">
      <c r="A141" s="66" t="s">
        <v>124</v>
      </c>
      <c r="B141" s="106" t="s">
        <v>125</v>
      </c>
      <c r="C141" s="66" t="s">
        <v>305</v>
      </c>
      <c r="D141" s="114" t="s">
        <v>56</v>
      </c>
      <c r="E141" s="66">
        <v>2029.0</v>
      </c>
    </row>
    <row r="142">
      <c r="A142" s="66" t="s">
        <v>124</v>
      </c>
      <c r="B142" s="106" t="s">
        <v>125</v>
      </c>
      <c r="C142" s="66" t="s">
        <v>305</v>
      </c>
      <c r="D142" s="114" t="s">
        <v>56</v>
      </c>
      <c r="E142" s="66">
        <v>2030.0</v>
      </c>
    </row>
    <row r="143">
      <c r="A143" s="66" t="s">
        <v>124</v>
      </c>
      <c r="B143" s="106" t="s">
        <v>125</v>
      </c>
      <c r="C143" s="66" t="s">
        <v>305</v>
      </c>
      <c r="D143" s="114" t="s">
        <v>61</v>
      </c>
      <c r="E143" s="66">
        <v>2031.0</v>
      </c>
    </row>
    <row r="144">
      <c r="A144" s="66" t="s">
        <v>104</v>
      </c>
      <c r="B144" s="106" t="s">
        <v>105</v>
      </c>
      <c r="C144" s="66" t="s">
        <v>306</v>
      </c>
      <c r="D144" s="114" t="s">
        <v>61</v>
      </c>
      <c r="E144" s="66">
        <v>2012.0</v>
      </c>
    </row>
    <row r="145">
      <c r="A145" s="66" t="s">
        <v>104</v>
      </c>
      <c r="B145" s="106" t="s">
        <v>105</v>
      </c>
      <c r="C145" s="66" t="s">
        <v>306</v>
      </c>
      <c r="D145" s="114" t="s">
        <v>61</v>
      </c>
      <c r="E145" s="66">
        <v>2013.0</v>
      </c>
    </row>
    <row r="146">
      <c r="A146" s="66" t="s">
        <v>104</v>
      </c>
      <c r="B146" s="106" t="s">
        <v>105</v>
      </c>
      <c r="C146" s="66" t="s">
        <v>306</v>
      </c>
      <c r="D146" s="114" t="s">
        <v>61</v>
      </c>
      <c r="E146" s="66">
        <v>2014.0</v>
      </c>
    </row>
    <row r="147">
      <c r="A147" s="66" t="s">
        <v>104</v>
      </c>
      <c r="B147" s="106" t="s">
        <v>105</v>
      </c>
      <c r="C147" s="66" t="s">
        <v>306</v>
      </c>
      <c r="D147" s="114" t="s">
        <v>61</v>
      </c>
      <c r="E147" s="66">
        <v>2015.0</v>
      </c>
    </row>
    <row r="148">
      <c r="A148" s="66" t="s">
        <v>104</v>
      </c>
      <c r="B148" s="106" t="s">
        <v>105</v>
      </c>
      <c r="C148" s="66" t="s">
        <v>306</v>
      </c>
      <c r="D148" s="114" t="s">
        <v>61</v>
      </c>
      <c r="E148" s="66">
        <v>1478.0</v>
      </c>
    </row>
    <row r="149">
      <c r="A149" s="66" t="s">
        <v>89</v>
      </c>
      <c r="B149" s="106" t="s">
        <v>91</v>
      </c>
      <c r="D149" s="114" t="s">
        <v>61</v>
      </c>
      <c r="E149" s="66">
        <v>2011.0</v>
      </c>
    </row>
    <row r="150">
      <c r="A150" s="66" t="s">
        <v>89</v>
      </c>
      <c r="B150" s="106" t="s">
        <v>91</v>
      </c>
      <c r="C150" s="66" t="s">
        <v>307</v>
      </c>
      <c r="D150" s="114" t="s">
        <v>61</v>
      </c>
      <c r="E150" s="66">
        <v>2010.0</v>
      </c>
    </row>
    <row r="151">
      <c r="A151" s="66" t="s">
        <v>89</v>
      </c>
      <c r="B151" s="106" t="s">
        <v>113</v>
      </c>
      <c r="C151" s="66" t="s">
        <v>308</v>
      </c>
      <c r="D151" s="114" t="s">
        <v>61</v>
      </c>
      <c r="E151" s="66">
        <v>2009.0</v>
      </c>
    </row>
    <row r="152">
      <c r="A152" s="66" t="s">
        <v>104</v>
      </c>
      <c r="B152" s="106" t="s">
        <v>107</v>
      </c>
      <c r="D152" s="114" t="s">
        <v>61</v>
      </c>
      <c r="E152" s="66">
        <v>2008.0</v>
      </c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