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nessa3/Desktop/"/>
    </mc:Choice>
  </mc:AlternateContent>
  <xr:revisionPtr revIDLastSave="0" documentId="13_ncr:1_{F508AEE1-68ED-4440-AE1C-65B8D4851AF6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tabela padrão" sheetId="15" r:id="rId1"/>
    <sheet name="Plan1" sheetId="16" r:id="rId2"/>
    <sheet name="calculo info nutricional" sheetId="17" r:id="rId3"/>
  </sheets>
  <definedNames>
    <definedName name="_xlnm.Print_Area" localSheetId="0">'tabela padrão'!$A$1:$E$43</definedName>
  </definedNames>
  <calcPr calcId="191029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5" l="1"/>
  <c r="C11" i="15" l="1"/>
  <c r="T17" i="17" l="1"/>
  <c r="T16" i="17"/>
  <c r="P19" i="17"/>
  <c r="P16" i="17"/>
  <c r="B23" i="17"/>
  <c r="B22" i="17"/>
  <c r="B21" i="17"/>
  <c r="B20" i="17"/>
  <c r="B19" i="17"/>
  <c r="B18" i="17"/>
  <c r="B17" i="17"/>
  <c r="B16" i="17"/>
  <c r="O4" i="17"/>
  <c r="O3" i="17"/>
  <c r="O10" i="17"/>
  <c r="O9" i="17"/>
  <c r="O8" i="17"/>
  <c r="O7" i="17"/>
  <c r="O6" i="17"/>
  <c r="O5" i="17"/>
  <c r="I14" i="15" l="1"/>
  <c r="I13" i="15"/>
  <c r="I11" i="15"/>
  <c r="I10" i="15"/>
  <c r="I9" i="15"/>
  <c r="I8" i="15"/>
  <c r="I7" i="15"/>
  <c r="I31" i="15"/>
  <c r="C13" i="15" s="1"/>
  <c r="I30" i="15"/>
  <c r="C12" i="15" s="1"/>
  <c r="I29" i="15"/>
  <c r="I28" i="15"/>
  <c r="C10" i="15" s="1"/>
  <c r="I27" i="15"/>
  <c r="C9" i="15" s="1"/>
  <c r="I26" i="15"/>
  <c r="C8" i="15" s="1"/>
  <c r="I25" i="15"/>
  <c r="I24" i="15"/>
  <c r="F12" i="17" l="1"/>
  <c r="F7" i="17"/>
  <c r="F13" i="17" s="1"/>
  <c r="F4" i="17"/>
  <c r="F8" i="17" s="1"/>
  <c r="F11" i="17" s="1"/>
  <c r="H7" i="17"/>
  <c r="G7" i="17"/>
  <c r="E7" i="17"/>
  <c r="D7" i="17"/>
  <c r="C7" i="17"/>
  <c r="B7" i="17"/>
  <c r="I6" i="17"/>
  <c r="I8" i="17"/>
  <c r="I11" i="17" s="1"/>
  <c r="I5" i="17"/>
  <c r="I4" i="17"/>
  <c r="H5" i="17"/>
  <c r="G5" i="17"/>
  <c r="D5" i="17"/>
  <c r="C5" i="17"/>
  <c r="B5" i="17"/>
  <c r="G4" i="17"/>
  <c r="E4" i="17"/>
  <c r="D4" i="17"/>
  <c r="C4" i="17"/>
  <c r="C10" i="17" s="1"/>
  <c r="B4" i="17"/>
  <c r="H3" i="17"/>
  <c r="E3" i="17"/>
  <c r="G3" i="17"/>
  <c r="D3" i="17"/>
  <c r="D8" i="17" s="1"/>
  <c r="D11" i="17" s="1"/>
  <c r="C3" i="17"/>
  <c r="C8" i="17" s="1"/>
  <c r="C11" i="17" s="1"/>
  <c r="B3" i="17"/>
  <c r="B8" i="17" s="1"/>
  <c r="B11" i="17" s="1"/>
  <c r="H13" i="17" l="1"/>
  <c r="I13" i="17"/>
  <c r="G12" i="17"/>
  <c r="E13" i="17"/>
  <c r="C12" i="17"/>
  <c r="I10" i="17"/>
  <c r="E8" i="17"/>
  <c r="E11" i="17" s="1"/>
  <c r="B10" i="17"/>
  <c r="F10" i="17"/>
  <c r="B12" i="17"/>
  <c r="B13" i="17"/>
  <c r="G8" i="17"/>
  <c r="G11" i="17" s="1"/>
  <c r="G10" i="17"/>
  <c r="C13" i="17"/>
  <c r="G13" i="17"/>
  <c r="H8" i="17"/>
  <c r="H11" i="17" s="1"/>
  <c r="D10" i="17"/>
  <c r="H10" i="17"/>
  <c r="D12" i="17"/>
  <c r="H12" i="17"/>
  <c r="D13" i="17"/>
  <c r="E10" i="17"/>
  <c r="E12" i="17"/>
  <c r="I12" i="17"/>
  <c r="E8" i="15" l="1"/>
  <c r="D6" i="15" s="1"/>
  <c r="E10" i="16" l="1"/>
  <c r="E9" i="16"/>
  <c r="E8" i="16"/>
  <c r="E7" i="16"/>
  <c r="E6" i="16"/>
  <c r="E5" i="16"/>
  <c r="E4" i="16"/>
  <c r="D34" i="15" l="1"/>
  <c r="D33" i="15"/>
  <c r="D32" i="15"/>
  <c r="D31" i="15"/>
  <c r="D30" i="15"/>
  <c r="D29" i="15"/>
  <c r="D28" i="15"/>
  <c r="D13" i="15" l="1"/>
  <c r="D12" i="15"/>
  <c r="D10" i="15"/>
  <c r="D9" i="15"/>
  <c r="D8" i="15"/>
  <c r="D7" i="15"/>
  <c r="E6" i="15"/>
</calcChain>
</file>

<file path=xl/sharedStrings.xml><?xml version="1.0" encoding="utf-8"?>
<sst xmlns="http://schemas.openxmlformats.org/spreadsheetml/2006/main" count="128" uniqueCount="78">
  <si>
    <t xml:space="preserve">Quantidade por porção  </t>
  </si>
  <si>
    <t>%VD(*)</t>
  </si>
  <si>
    <t>Valor Energético</t>
  </si>
  <si>
    <t xml:space="preserve">Carboidratos </t>
  </si>
  <si>
    <t>Proteínas</t>
  </si>
  <si>
    <t>Gorduras Totais</t>
  </si>
  <si>
    <t>Gorduras Saturadas</t>
  </si>
  <si>
    <r>
      <t xml:space="preserve">Gorduras </t>
    </r>
    <r>
      <rPr>
        <i/>
        <sz val="10"/>
        <rFont val="Cambria"/>
        <family val="1"/>
      </rPr>
      <t>Trans</t>
    </r>
  </si>
  <si>
    <t>Fibra Alimentar</t>
  </si>
  <si>
    <t>Sódio</t>
  </si>
  <si>
    <t>(*) Valores Diários de referência com base em uma dieta de 2000kcal ou 8400kJ. Seus valores diários podem ser maiores ou menores dependendo das necessidades energéticas.</t>
  </si>
  <si>
    <t>(**) VD não estabelecido</t>
  </si>
  <si>
    <t>TABELA PADRÃO</t>
  </si>
  <si>
    <t>KJ</t>
  </si>
  <si>
    <t>INFORMAÇÃO NUTRICIONAL                                                 Porção de 40 g (3 FATIAS)</t>
  </si>
  <si>
    <t>conversão 100g</t>
  </si>
  <si>
    <t>100g</t>
  </si>
  <si>
    <t xml:space="preserve">INFORMAÇÃO NUTRICIONAL                                                 Porção de 30 g </t>
  </si>
  <si>
    <t>30g</t>
  </si>
  <si>
    <t>97kcal / 410kJ</t>
  </si>
  <si>
    <t>PRESUNTO CRU</t>
  </si>
  <si>
    <t>EMBUTIDO CURADO</t>
  </si>
  <si>
    <t>LOMBO CURADO</t>
  </si>
  <si>
    <t>1g</t>
  </si>
  <si>
    <t>0g</t>
  </si>
  <si>
    <t>513mg</t>
  </si>
  <si>
    <t>71kcal / 298kJ</t>
  </si>
  <si>
    <t>11g</t>
  </si>
  <si>
    <t>3g</t>
  </si>
  <si>
    <t>13,5g</t>
  </si>
  <si>
    <t>4,8g</t>
  </si>
  <si>
    <t>1,7g</t>
  </si>
  <si>
    <t>730mg</t>
  </si>
  <si>
    <t>136kcal / 582kJ</t>
  </si>
  <si>
    <t>Porção de 40g (3 fatias)</t>
  </si>
  <si>
    <t xml:space="preserve">INFORMAÇÃO NUTRICIONAL </t>
  </si>
  <si>
    <t>Porção de 40g (10 fatias)</t>
  </si>
  <si>
    <t>Porção de 40g (8 fatias)</t>
  </si>
  <si>
    <r>
      <t xml:space="preserve">Gorduras </t>
    </r>
    <r>
      <rPr>
        <b/>
        <i/>
        <sz val="10"/>
        <rFont val="Cambria"/>
        <family val="1"/>
      </rPr>
      <t>Trans</t>
    </r>
  </si>
  <si>
    <t>Quantidade por porção</t>
  </si>
  <si>
    <t>Sódio (mg)</t>
  </si>
  <si>
    <t>Fibra Alimentar (g)</t>
  </si>
  <si>
    <r>
      <t xml:space="preserve">Gorduras </t>
    </r>
    <r>
      <rPr>
        <i/>
        <sz val="10"/>
        <rFont val="Cambria"/>
        <family val="1"/>
      </rPr>
      <t>Trans(g)</t>
    </r>
  </si>
  <si>
    <t>Gorduras Saturadas (g)</t>
  </si>
  <si>
    <t>Gorduras Totais (g)</t>
  </si>
  <si>
    <t>Proteínas (g)</t>
  </si>
  <si>
    <t>Carboidratos  (g)</t>
  </si>
  <si>
    <t>**</t>
  </si>
  <si>
    <t>INFORMAÇÃO NUTRICIONAL                    Porção de 40 g (3 fatias)</t>
  </si>
  <si>
    <t>inhame</t>
  </si>
  <si>
    <t xml:space="preserve">queijo parmesao </t>
  </si>
  <si>
    <t>polvilho doce</t>
  </si>
  <si>
    <t>KCAL</t>
  </si>
  <si>
    <t>PROTEINA</t>
  </si>
  <si>
    <t>GORDURA</t>
  </si>
  <si>
    <t>CARBOIDRATO</t>
  </si>
  <si>
    <t>FIBRA</t>
  </si>
  <si>
    <t>SOMA</t>
  </si>
  <si>
    <t>SÓDIO</t>
  </si>
  <si>
    <t>sal</t>
  </si>
  <si>
    <t>chia</t>
  </si>
  <si>
    <t>saturada</t>
  </si>
  <si>
    <t>20g com chia</t>
  </si>
  <si>
    <t>20g queijo</t>
  </si>
  <si>
    <t>20g inhame</t>
  </si>
  <si>
    <t xml:space="preserve">20g inhame  chia </t>
  </si>
  <si>
    <t>5kcal / 19kJ</t>
  </si>
  <si>
    <t>leite</t>
  </si>
  <si>
    <t>mozarela</t>
  </si>
  <si>
    <t>polvilho</t>
  </si>
  <si>
    <t>agua</t>
  </si>
  <si>
    <t>ovos</t>
  </si>
  <si>
    <t>queijo parmesão</t>
  </si>
  <si>
    <t>tapiocas</t>
  </si>
  <si>
    <t>50g</t>
  </si>
  <si>
    <t>kcal</t>
  </si>
  <si>
    <t>TAPIOCA</t>
  </si>
  <si>
    <t>carb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</si>
</sst>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0"/>
      <name val="Cambria"/>
      <family val="1"/>
    </font>
    <font>
      <sz val="10"/>
      <name val="Cambria"/>
      <family val="1"/>
    </font>
    <font>
      <i/>
      <sz val="10"/>
      <name val="Cambria"/>
      <family val="1"/>
    </font>
    <font>
      <sz val="8"/>
      <name val="Cambria"/>
      <family val="1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i/>
      <sz val="1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 vertical="center" wrapText="1"/>
    </xf>
    <xf numFmtId="1" fontId="2" fillId="2" borderId="9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Font="1"/>
    <xf numFmtId="0" fontId="2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 vertical="center"/>
    </xf>
    <xf numFmtId="0" fontId="6" fillId="0" borderId="18" xfId="0" applyFont="1" applyBorder="1" applyAlignment="1">
      <alignment wrapText="1"/>
    </xf>
    <xf numFmtId="0" fontId="7" fillId="3" borderId="18" xfId="0" applyFont="1" applyFill="1" applyBorder="1" applyAlignment="1">
      <alignment horizontal="center" vertical="center"/>
    </xf>
    <xf numFmtId="0" fontId="6" fillId="0" borderId="7" xfId="0" applyFont="1" applyBorder="1" applyAlignment="1">
      <alignment wrapText="1"/>
    </xf>
    <xf numFmtId="0" fontId="7" fillId="3" borderId="7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0" fontId="7" fillId="3" borderId="27" xfId="0" applyFont="1" applyFill="1" applyBorder="1" applyAlignment="1">
      <alignment horizontal="center" vertical="center"/>
    </xf>
    <xf numFmtId="0" fontId="1" fillId="2" borderId="24" xfId="0" applyFont="1" applyFill="1" applyBorder="1"/>
    <xf numFmtId="0" fontId="1" fillId="2" borderId="24" xfId="0" applyFont="1" applyFill="1" applyBorder="1" applyAlignment="1">
      <alignment horizontal="left"/>
    </xf>
    <xf numFmtId="0" fontId="1" fillId="2" borderId="26" xfId="0" applyFont="1" applyFill="1" applyBorder="1"/>
    <xf numFmtId="0" fontId="1" fillId="2" borderId="24" xfId="0" applyFont="1" applyFill="1" applyBorder="1" applyAlignment="1">
      <alignment horizontal="center" wrapText="1"/>
    </xf>
    <xf numFmtId="164" fontId="2" fillId="2" borderId="8" xfId="0" applyNumberFormat="1" applyFont="1" applyFill="1" applyBorder="1" applyAlignment="1">
      <alignment horizontal="center"/>
    </xf>
    <xf numFmtId="2" fontId="2" fillId="2" borderId="8" xfId="0" applyNumberFormat="1" applyFont="1" applyFill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8"/>
  <sheetViews>
    <sheetView tabSelected="1" view="pageBreakPreview" zoomScaleSheetLayoutView="100" workbookViewId="0">
      <selection activeCell="C8" sqref="C8"/>
    </sheetView>
  </sheetViews>
  <sheetFormatPr baseColWidth="10" defaultColWidth="8.83203125" defaultRowHeight="15" x14ac:dyDescent="0.2"/>
  <cols>
    <col min="2" max="2" width="22.5" customWidth="1"/>
    <col min="3" max="3" width="19.6640625" customWidth="1"/>
    <col min="4" max="4" width="27.1640625" customWidth="1"/>
    <col min="7" max="7" width="26.5" customWidth="1"/>
    <col min="8" max="8" width="19.1640625" customWidth="1"/>
    <col min="9" max="9" width="18.5" customWidth="1"/>
  </cols>
  <sheetData>
    <row r="2" spans="2:9" ht="16" x14ac:dyDescent="0.2">
      <c r="B2" s="42" t="s">
        <v>12</v>
      </c>
      <c r="C2" s="43"/>
      <c r="D2" s="44"/>
    </row>
    <row r="3" spans="2:9" ht="13.5" customHeight="1" thickBot="1" x14ac:dyDescent="0.25"/>
    <row r="4" spans="2:9" ht="15" hidden="1" customHeight="1" thickBot="1" x14ac:dyDescent="0.25">
      <c r="B4" s="18" t="s">
        <v>14</v>
      </c>
      <c r="C4" s="19"/>
      <c r="D4" s="20"/>
    </row>
    <row r="5" spans="2:9" ht="25.5" customHeight="1" x14ac:dyDescent="0.2">
      <c r="B5" s="1"/>
      <c r="C5" s="2" t="s">
        <v>0</v>
      </c>
      <c r="D5" s="3" t="s">
        <v>1</v>
      </c>
      <c r="G5" s="57" t="s">
        <v>48</v>
      </c>
      <c r="H5" s="58"/>
      <c r="I5" s="59"/>
    </row>
    <row r="6" spans="2:9" x14ac:dyDescent="0.2">
      <c r="B6" s="4" t="s">
        <v>2</v>
      </c>
      <c r="C6" s="5" t="s">
        <v>66</v>
      </c>
      <c r="D6" s="8">
        <f>E8/2000*100</f>
        <v>7.0919999999999987</v>
      </c>
      <c r="E6">
        <f>(C7*17)+(C8*17)+(C9*37)</f>
        <v>593.81999999999994</v>
      </c>
      <c r="G6" s="1"/>
      <c r="H6" s="2" t="s">
        <v>0</v>
      </c>
      <c r="I6" s="3" t="s">
        <v>1</v>
      </c>
    </row>
    <row r="7" spans="2:9" ht="15" customHeight="1" x14ac:dyDescent="0.2">
      <c r="B7" s="4" t="s">
        <v>3</v>
      </c>
      <c r="C7" s="41">
        <f>I25</f>
        <v>0.06</v>
      </c>
      <c r="D7" s="8">
        <f>(C7*100)/300</f>
        <v>0.02</v>
      </c>
      <c r="E7" t="s">
        <v>13</v>
      </c>
      <c r="G7" s="4" t="s">
        <v>2</v>
      </c>
      <c r="H7" s="5" t="s">
        <v>66</v>
      </c>
      <c r="I7" s="8">
        <f>J9/2000*100</f>
        <v>0</v>
      </c>
    </row>
    <row r="8" spans="2:9" x14ac:dyDescent="0.2">
      <c r="B8" s="4" t="s">
        <v>4</v>
      </c>
      <c r="C8" s="41">
        <f t="shared" ref="C8:C13" si="0">I26</f>
        <v>19.2</v>
      </c>
      <c r="D8" s="8">
        <f>(C8*100)/75</f>
        <v>25.6</v>
      </c>
      <c r="E8">
        <f>(C7*4)+(C8*4)+(C9*9)</f>
        <v>141.83999999999997</v>
      </c>
      <c r="G8" s="4" t="s">
        <v>46</v>
      </c>
      <c r="H8" s="41">
        <v>0.56999999999999995</v>
      </c>
      <c r="I8" s="8">
        <f>(H8*100)/300</f>
        <v>0.18999999999999997</v>
      </c>
    </row>
    <row r="9" spans="2:9" x14ac:dyDescent="0.2">
      <c r="B9" s="6" t="s">
        <v>5</v>
      </c>
      <c r="C9" s="41">
        <f t="shared" si="0"/>
        <v>7.2</v>
      </c>
      <c r="D9" s="8">
        <f>(C9*100)/55</f>
        <v>13.090909090909092</v>
      </c>
      <c r="G9" s="4" t="s">
        <v>45</v>
      </c>
      <c r="H9" s="41">
        <v>0.48</v>
      </c>
      <c r="I9" s="8">
        <f>(H9*100)/75</f>
        <v>0.64</v>
      </c>
    </row>
    <row r="10" spans="2:9" x14ac:dyDescent="0.2">
      <c r="B10" s="6" t="s">
        <v>6</v>
      </c>
      <c r="C10" s="41">
        <f t="shared" si="0"/>
        <v>2.88</v>
      </c>
      <c r="D10" s="8">
        <f>(C10*100)/22</f>
        <v>13.090909090909092</v>
      </c>
      <c r="G10" s="6" t="s">
        <v>44</v>
      </c>
      <c r="H10" s="41">
        <v>0.04</v>
      </c>
      <c r="I10" s="8">
        <f>(H10*100)/55</f>
        <v>7.2727272727272724E-2</v>
      </c>
    </row>
    <row r="11" spans="2:9" x14ac:dyDescent="0.2">
      <c r="B11" s="6" t="s">
        <v>7</v>
      </c>
      <c r="C11" s="40">
        <f t="shared" si="0"/>
        <v>0</v>
      </c>
      <c r="D11" s="8" t="s">
        <v>47</v>
      </c>
      <c r="G11" s="6" t="s">
        <v>43</v>
      </c>
      <c r="H11" s="41">
        <v>0</v>
      </c>
      <c r="I11" s="8">
        <f>(H11*100)/22</f>
        <v>0</v>
      </c>
    </row>
    <row r="12" spans="2:9" x14ac:dyDescent="0.2">
      <c r="B12" s="4" t="s">
        <v>8</v>
      </c>
      <c r="C12" s="41">
        <f t="shared" si="0"/>
        <v>0</v>
      </c>
      <c r="D12" s="8">
        <f>(C12*100)/25</f>
        <v>0</v>
      </c>
      <c r="G12" s="6" t="s">
        <v>42</v>
      </c>
      <c r="H12" s="40">
        <v>0</v>
      </c>
      <c r="I12" s="8" t="s">
        <v>47</v>
      </c>
    </row>
    <row r="13" spans="2:9" x14ac:dyDescent="0.2">
      <c r="B13" s="4" t="s">
        <v>40</v>
      </c>
      <c r="C13" s="40">
        <f t="shared" si="0"/>
        <v>1200</v>
      </c>
      <c r="D13" s="8">
        <f>(C13*100)/2400</f>
        <v>50</v>
      </c>
      <c r="G13" s="4" t="s">
        <v>41</v>
      </c>
      <c r="H13" s="41">
        <v>0.33</v>
      </c>
      <c r="I13" s="8">
        <f>(H13*100)/25</f>
        <v>1.32</v>
      </c>
    </row>
    <row r="14" spans="2:9" ht="15" customHeight="1" x14ac:dyDescent="0.2">
      <c r="C14" s="10"/>
      <c r="D14" s="11"/>
      <c r="G14" s="4" t="s">
        <v>40</v>
      </c>
      <c r="H14" s="40">
        <v>317</v>
      </c>
      <c r="I14" s="8">
        <f>(H14*100)/2400</f>
        <v>13.208333333333334</v>
      </c>
    </row>
    <row r="15" spans="2:9" x14ac:dyDescent="0.2">
      <c r="B15" s="12"/>
      <c r="C15" s="13"/>
      <c r="D15" s="14"/>
      <c r="G15" s="45" t="s">
        <v>10</v>
      </c>
      <c r="H15" s="46"/>
      <c r="I15" s="47"/>
    </row>
    <row r="16" spans="2:9" x14ac:dyDescent="0.2">
      <c r="B16" s="15"/>
      <c r="C16" s="16"/>
      <c r="D16" s="17"/>
      <c r="G16" s="48"/>
      <c r="H16" s="49"/>
      <c r="I16" s="50"/>
    </row>
    <row r="17" spans="2:9" ht="18.75" customHeight="1" x14ac:dyDescent="0.2">
      <c r="B17" s="9" t="s">
        <v>10</v>
      </c>
      <c r="C17" s="13"/>
      <c r="D17" s="14"/>
      <c r="G17" s="51"/>
      <c r="H17" s="52"/>
      <c r="I17" s="53"/>
    </row>
    <row r="18" spans="2:9" ht="18.75" customHeight="1" x14ac:dyDescent="0.2">
      <c r="B18" s="7"/>
      <c r="C18" s="7"/>
      <c r="D18" s="7"/>
      <c r="G18" s="48" t="s">
        <v>11</v>
      </c>
      <c r="H18" s="49"/>
      <c r="I18" s="50"/>
    </row>
    <row r="19" spans="2:9" ht="18.75" customHeight="1" x14ac:dyDescent="0.2">
      <c r="B19" s="7"/>
      <c r="C19" s="7"/>
      <c r="D19" s="7"/>
    </row>
    <row r="23" spans="2:9" ht="16" x14ac:dyDescent="0.2">
      <c r="B23" s="42" t="s">
        <v>15</v>
      </c>
      <c r="C23" s="43"/>
      <c r="D23" s="44"/>
      <c r="H23">
        <v>100</v>
      </c>
      <c r="I23">
        <v>60</v>
      </c>
    </row>
    <row r="24" spans="2:9" ht="16" thickBot="1" x14ac:dyDescent="0.25">
      <c r="G24" s="4" t="s">
        <v>2</v>
      </c>
      <c r="H24">
        <v>102</v>
      </c>
      <c r="I24">
        <f>H24*I23/100</f>
        <v>61.2</v>
      </c>
    </row>
    <row r="25" spans="2:9" ht="15" customHeight="1" x14ac:dyDescent="0.2">
      <c r="B25" s="54" t="s">
        <v>17</v>
      </c>
      <c r="C25" s="55"/>
      <c r="D25" s="56"/>
      <c r="G25" s="4" t="s">
        <v>46</v>
      </c>
      <c r="H25">
        <v>0.1</v>
      </c>
      <c r="I25">
        <f>H25*I23/100</f>
        <v>0.06</v>
      </c>
    </row>
    <row r="26" spans="2:9" x14ac:dyDescent="0.2">
      <c r="B26" s="1"/>
      <c r="C26" s="2" t="s">
        <v>16</v>
      </c>
      <c r="D26" s="3" t="s">
        <v>18</v>
      </c>
      <c r="G26" s="4" t="s">
        <v>45</v>
      </c>
      <c r="H26">
        <v>32</v>
      </c>
      <c r="I26">
        <f>H26*I23/100</f>
        <v>19.2</v>
      </c>
    </row>
    <row r="27" spans="2:9" x14ac:dyDescent="0.2">
      <c r="B27" s="4" t="s">
        <v>2</v>
      </c>
      <c r="C27" s="5"/>
      <c r="D27" s="8"/>
      <c r="G27" s="6" t="s">
        <v>44</v>
      </c>
      <c r="H27">
        <v>12</v>
      </c>
      <c r="I27">
        <f>H27*I23/100</f>
        <v>7.2</v>
      </c>
    </row>
    <row r="28" spans="2:9" x14ac:dyDescent="0.2">
      <c r="B28" s="4" t="s">
        <v>3</v>
      </c>
      <c r="C28" s="5">
        <v>0.7</v>
      </c>
      <c r="D28" s="8">
        <f t="shared" ref="D28:D34" si="1">C28*30/100</f>
        <v>0.21</v>
      </c>
      <c r="G28" s="6" t="s">
        <v>43</v>
      </c>
      <c r="H28">
        <v>4.8</v>
      </c>
      <c r="I28">
        <f>H28*I23/100</f>
        <v>2.88</v>
      </c>
    </row>
    <row r="29" spans="2:9" x14ac:dyDescent="0.2">
      <c r="B29" s="4" t="s">
        <v>4</v>
      </c>
      <c r="C29" s="5">
        <v>35</v>
      </c>
      <c r="D29" s="8">
        <f t="shared" si="1"/>
        <v>10.5</v>
      </c>
      <c r="G29" s="6" t="s">
        <v>42</v>
      </c>
      <c r="H29">
        <v>0</v>
      </c>
      <c r="I29">
        <f>H29*I23/100</f>
        <v>0</v>
      </c>
    </row>
    <row r="30" spans="2:9" x14ac:dyDescent="0.2">
      <c r="B30" s="6" t="s">
        <v>5</v>
      </c>
      <c r="C30" s="5">
        <v>11</v>
      </c>
      <c r="D30" s="8">
        <f t="shared" si="1"/>
        <v>3.3</v>
      </c>
      <c r="G30" s="4" t="s">
        <v>41</v>
      </c>
      <c r="H30">
        <v>0</v>
      </c>
      <c r="I30">
        <f>H30*I23/100</f>
        <v>0</v>
      </c>
    </row>
    <row r="31" spans="2:9" x14ac:dyDescent="0.2">
      <c r="B31" s="6" t="s">
        <v>6</v>
      </c>
      <c r="C31" s="5">
        <v>4.8</v>
      </c>
      <c r="D31" s="8">
        <f t="shared" si="1"/>
        <v>1.44</v>
      </c>
      <c r="G31" s="4" t="s">
        <v>40</v>
      </c>
      <c r="H31">
        <v>2000</v>
      </c>
      <c r="I31">
        <f>H31*I23/100</f>
        <v>1200</v>
      </c>
    </row>
    <row r="32" spans="2:9" x14ac:dyDescent="0.2">
      <c r="B32" s="6" t="s">
        <v>7</v>
      </c>
      <c r="C32" s="5">
        <v>0</v>
      </c>
      <c r="D32" s="8">
        <f t="shared" si="1"/>
        <v>0</v>
      </c>
    </row>
    <row r="33" spans="2:4" x14ac:dyDescent="0.2">
      <c r="B33" s="4" t="s">
        <v>8</v>
      </c>
      <c r="C33" s="5">
        <v>0</v>
      </c>
      <c r="D33" s="8">
        <f t="shared" si="1"/>
        <v>0</v>
      </c>
    </row>
    <row r="34" spans="2:4" x14ac:dyDescent="0.2">
      <c r="B34" s="4" t="s">
        <v>9</v>
      </c>
      <c r="C34" s="5">
        <v>1710</v>
      </c>
      <c r="D34" s="8">
        <f t="shared" si="1"/>
        <v>513</v>
      </c>
    </row>
    <row r="35" spans="2:4" ht="15" customHeight="1" x14ac:dyDescent="0.2">
      <c r="B35" s="45" t="s">
        <v>10</v>
      </c>
      <c r="C35" s="46"/>
      <c r="D35" s="47"/>
    </row>
    <row r="36" spans="2:4" x14ac:dyDescent="0.2">
      <c r="B36" s="48"/>
      <c r="C36" s="49"/>
      <c r="D36" s="50"/>
    </row>
    <row r="37" spans="2:4" x14ac:dyDescent="0.2">
      <c r="B37" s="51"/>
      <c r="C37" s="52"/>
      <c r="D37" s="53"/>
    </row>
    <row r="38" spans="2:4" x14ac:dyDescent="0.2">
      <c r="B38" s="48" t="s">
        <v>11</v>
      </c>
      <c r="C38" s="49"/>
      <c r="D38" s="50"/>
    </row>
  </sheetData>
  <mergeCells count="8">
    <mergeCell ref="B2:D2"/>
    <mergeCell ref="B35:D37"/>
    <mergeCell ref="B38:D38"/>
    <mergeCell ref="B25:D25"/>
    <mergeCell ref="G5:I5"/>
    <mergeCell ref="G15:I17"/>
    <mergeCell ref="G18:I18"/>
    <mergeCell ref="B23:D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7.5" style="23" customWidth="1"/>
    <col min="2" max="2" width="14" customWidth="1"/>
    <col min="4" max="4" width="13.83203125" customWidth="1"/>
    <col min="6" max="6" width="13.83203125" customWidth="1"/>
  </cols>
  <sheetData>
    <row r="1" spans="1:7" s="22" customFormat="1" ht="28" x14ac:dyDescent="0.2">
      <c r="A1" s="21" t="s">
        <v>35</v>
      </c>
      <c r="B1" s="60" t="s">
        <v>20</v>
      </c>
      <c r="C1" s="61"/>
      <c r="D1" s="60" t="s">
        <v>21</v>
      </c>
      <c r="E1" s="61"/>
      <c r="F1" s="62" t="s">
        <v>22</v>
      </c>
      <c r="G1" s="61"/>
    </row>
    <row r="2" spans="1:7" s="22" customFormat="1" ht="32" x14ac:dyDescent="0.2">
      <c r="A2" s="39" t="s">
        <v>39</v>
      </c>
      <c r="B2" s="29" t="s">
        <v>34</v>
      </c>
      <c r="C2" s="25" t="s">
        <v>1</v>
      </c>
      <c r="D2" s="29" t="s">
        <v>36</v>
      </c>
      <c r="E2" s="25" t="s">
        <v>1</v>
      </c>
      <c r="F2" s="27" t="s">
        <v>37</v>
      </c>
      <c r="G2" s="25" t="s">
        <v>1</v>
      </c>
    </row>
    <row r="3" spans="1:7" x14ac:dyDescent="0.2">
      <c r="A3" s="36" t="s">
        <v>2</v>
      </c>
      <c r="B3" s="30" t="s">
        <v>19</v>
      </c>
      <c r="C3" s="26">
        <v>4</v>
      </c>
      <c r="D3" s="30" t="s">
        <v>33</v>
      </c>
      <c r="E3" s="26">
        <v>4</v>
      </c>
      <c r="F3" s="28" t="s">
        <v>26</v>
      </c>
      <c r="G3" s="26">
        <v>4</v>
      </c>
    </row>
    <row r="4" spans="1:7" x14ac:dyDescent="0.2">
      <c r="A4" s="36" t="s">
        <v>3</v>
      </c>
      <c r="B4" s="30" t="s">
        <v>24</v>
      </c>
      <c r="C4" s="26">
        <v>0</v>
      </c>
      <c r="D4" s="24">
        <v>1</v>
      </c>
      <c r="E4" s="8">
        <f>(D4*100)/300</f>
        <v>0.33333333333333331</v>
      </c>
      <c r="F4" s="28" t="s">
        <v>24</v>
      </c>
      <c r="G4" s="26">
        <v>0</v>
      </c>
    </row>
    <row r="5" spans="1:7" x14ac:dyDescent="0.2">
      <c r="A5" s="36" t="s">
        <v>4</v>
      </c>
      <c r="B5" s="30" t="s">
        <v>29</v>
      </c>
      <c r="C5" s="26">
        <v>18</v>
      </c>
      <c r="D5" s="24">
        <v>9.3000000000000007</v>
      </c>
      <c r="E5" s="8">
        <f>(D5*100)/75</f>
        <v>12.400000000000002</v>
      </c>
      <c r="F5" s="28" t="s">
        <v>27</v>
      </c>
      <c r="G5" s="26">
        <v>15</v>
      </c>
    </row>
    <row r="6" spans="1:7" x14ac:dyDescent="0.2">
      <c r="A6" s="37" t="s">
        <v>5</v>
      </c>
      <c r="B6" s="30" t="s">
        <v>30</v>
      </c>
      <c r="C6" s="26">
        <v>9</v>
      </c>
      <c r="D6" s="24">
        <v>11</v>
      </c>
      <c r="E6" s="8">
        <f>(D6*100)/55</f>
        <v>20</v>
      </c>
      <c r="F6" s="28" t="s">
        <v>28</v>
      </c>
      <c r="G6" s="26">
        <v>5</v>
      </c>
    </row>
    <row r="7" spans="1:7" x14ac:dyDescent="0.2">
      <c r="A7" s="37" t="s">
        <v>6</v>
      </c>
      <c r="B7" s="30" t="s">
        <v>31</v>
      </c>
      <c r="C7" s="26">
        <v>8</v>
      </c>
      <c r="D7" s="24">
        <v>4.0999999999999996</v>
      </c>
      <c r="E7" s="8">
        <f>(D7*100)/22</f>
        <v>18.636363636363633</v>
      </c>
      <c r="F7" s="28" t="s">
        <v>23</v>
      </c>
      <c r="G7" s="26">
        <v>5</v>
      </c>
    </row>
    <row r="8" spans="1:7" x14ac:dyDescent="0.2">
      <c r="A8" s="37" t="s">
        <v>38</v>
      </c>
      <c r="B8" s="30" t="s">
        <v>24</v>
      </c>
      <c r="C8" s="26">
        <v>0</v>
      </c>
      <c r="D8" s="24">
        <v>0</v>
      </c>
      <c r="E8" s="8">
        <f>(D8*100)/25</f>
        <v>0</v>
      </c>
      <c r="F8" s="28" t="s">
        <v>24</v>
      </c>
      <c r="G8" s="26">
        <v>0</v>
      </c>
    </row>
    <row r="9" spans="1:7" x14ac:dyDescent="0.2">
      <c r="A9" s="36" t="s">
        <v>8</v>
      </c>
      <c r="B9" s="30" t="s">
        <v>24</v>
      </c>
      <c r="C9" s="26">
        <v>0</v>
      </c>
      <c r="D9" s="24">
        <v>0</v>
      </c>
      <c r="E9" s="8">
        <f>(D9*100)/25</f>
        <v>0</v>
      </c>
      <c r="F9" s="28" t="s">
        <v>24</v>
      </c>
      <c r="G9" s="26">
        <v>0</v>
      </c>
    </row>
    <row r="10" spans="1:7" ht="16" thickBot="1" x14ac:dyDescent="0.25">
      <c r="A10" s="38" t="s">
        <v>9</v>
      </c>
      <c r="B10" s="31" t="s">
        <v>32</v>
      </c>
      <c r="C10" s="32">
        <v>30</v>
      </c>
      <c r="D10" s="33">
        <v>510</v>
      </c>
      <c r="E10" s="34">
        <f>(D10*100)/2400</f>
        <v>21.25</v>
      </c>
      <c r="F10" s="35" t="s">
        <v>25</v>
      </c>
      <c r="G10" s="32">
        <v>21</v>
      </c>
    </row>
    <row r="11" spans="1:7" ht="30" customHeight="1" x14ac:dyDescent="0.2">
      <c r="A11" s="63" t="s">
        <v>10</v>
      </c>
      <c r="B11" s="64"/>
      <c r="C11" s="64"/>
      <c r="D11" s="64"/>
      <c r="E11" s="64"/>
      <c r="F11" s="64"/>
      <c r="G11" s="65"/>
    </row>
    <row r="12" spans="1:7" ht="16" thickBot="1" x14ac:dyDescent="0.25">
      <c r="A12" s="66" t="s">
        <v>11</v>
      </c>
      <c r="B12" s="67"/>
      <c r="C12" s="67"/>
      <c r="D12" s="67"/>
      <c r="E12" s="67"/>
      <c r="F12" s="67"/>
      <c r="G12" s="68"/>
    </row>
    <row r="13" spans="1:7" x14ac:dyDescent="0.2">
      <c r="A13" s="7"/>
    </row>
  </sheetData>
  <mergeCells count="5">
    <mergeCell ref="B1:C1"/>
    <mergeCell ref="D1:E1"/>
    <mergeCell ref="F1:G1"/>
    <mergeCell ref="A11:G11"/>
    <mergeCell ref="A12:G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E02E-91F1-E845-8409-8139F9C61CB4}">
  <dimension ref="A2:T23"/>
  <sheetViews>
    <sheetView workbookViewId="0">
      <selection activeCell="I20" sqref="I20"/>
    </sheetView>
  </sheetViews>
  <sheetFormatPr baseColWidth="10" defaultRowHeight="15" x14ac:dyDescent="0.2"/>
  <cols>
    <col min="1" max="1" width="14" bestFit="1" customWidth="1"/>
  </cols>
  <sheetData>
    <row r="2" spans="1:20" x14ac:dyDescent="0.2">
      <c r="N2">
        <v>20615</v>
      </c>
      <c r="O2">
        <v>50</v>
      </c>
    </row>
    <row r="3" spans="1:20" x14ac:dyDescent="0.2">
      <c r="A3" t="s">
        <v>49</v>
      </c>
      <c r="B3">
        <f>97*5</f>
        <v>485</v>
      </c>
      <c r="C3">
        <f>405*5</f>
        <v>2025</v>
      </c>
      <c r="D3">
        <f>2.1*5</f>
        <v>10.5</v>
      </c>
      <c r="E3">
        <f>0.2*5</f>
        <v>1</v>
      </c>
      <c r="F3">
        <v>0</v>
      </c>
      <c r="G3">
        <f>23.2*5</f>
        <v>116</v>
      </c>
      <c r="H3">
        <f>1.7*5</f>
        <v>8.5</v>
      </c>
      <c r="I3">
        <v>0</v>
      </c>
      <c r="N3">
        <v>6400</v>
      </c>
      <c r="O3">
        <f>$N$3*50/20615</f>
        <v>15.522677661896678</v>
      </c>
    </row>
    <row r="4" spans="1:20" x14ac:dyDescent="0.2">
      <c r="A4" t="s">
        <v>50</v>
      </c>
      <c r="B4">
        <f>453*0.6</f>
        <v>271.8</v>
      </c>
      <c r="C4">
        <f>1895*0.6</f>
        <v>1137</v>
      </c>
      <c r="D4">
        <f>35.6*0.6</f>
        <v>21.36</v>
      </c>
      <c r="E4">
        <f>33.5*0.6</f>
        <v>20.099999999999998</v>
      </c>
      <c r="F4">
        <f>19.4*0.6</f>
        <v>11.639999999999999</v>
      </c>
      <c r="G4">
        <f>1.7*0.6</f>
        <v>1.02</v>
      </c>
      <c r="H4">
        <v>0</v>
      </c>
      <c r="I4">
        <f>1844*0.6</f>
        <v>1106.3999999999999</v>
      </c>
      <c r="N4">
        <v>4120</v>
      </c>
      <c r="O4">
        <f>$N$4*50/20615</f>
        <v>9.9927237448459856</v>
      </c>
    </row>
    <row r="5" spans="1:20" x14ac:dyDescent="0.2">
      <c r="A5" t="s">
        <v>51</v>
      </c>
      <c r="B5">
        <f>351*0.6</f>
        <v>210.6</v>
      </c>
      <c r="C5">
        <f>1470*0.6</f>
        <v>882</v>
      </c>
      <c r="D5">
        <f>0.4*0.6</f>
        <v>0.24</v>
      </c>
      <c r="E5">
        <v>0</v>
      </c>
      <c r="F5">
        <v>0</v>
      </c>
      <c r="G5">
        <f>86.8*0.6</f>
        <v>52.08</v>
      </c>
      <c r="H5">
        <f>0.2*0.6</f>
        <v>0.12</v>
      </c>
      <c r="I5">
        <f>2*0.6</f>
        <v>1.2</v>
      </c>
      <c r="N5">
        <v>2100</v>
      </c>
      <c r="O5">
        <f t="shared" ref="O5:O10" si="0">N5*50/20615</f>
        <v>5.0933786078098473</v>
      </c>
    </row>
    <row r="6" spans="1:20" x14ac:dyDescent="0.2">
      <c r="A6" t="s">
        <v>59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>39943*0.04</f>
        <v>1597.72</v>
      </c>
      <c r="N6">
        <v>2200</v>
      </c>
      <c r="O6">
        <f t="shared" si="0"/>
        <v>5.3359204462769831</v>
      </c>
    </row>
    <row r="7" spans="1:20" x14ac:dyDescent="0.2">
      <c r="A7" t="s">
        <v>60</v>
      </c>
      <c r="B7">
        <f>526*0.05</f>
        <v>26.3</v>
      </c>
      <c r="C7">
        <f>2211*0.05</f>
        <v>110.55000000000001</v>
      </c>
      <c r="D7">
        <f>19.3*0.05</f>
        <v>0.96500000000000008</v>
      </c>
      <c r="E7">
        <f>31.7*0.05</f>
        <v>1.585</v>
      </c>
      <c r="F7">
        <f>2.6*0.05</f>
        <v>0.13</v>
      </c>
      <c r="G7">
        <f>40*0.05</f>
        <v>2</v>
      </c>
      <c r="H7">
        <f>35.3*0.05</f>
        <v>1.7649999999999999</v>
      </c>
      <c r="I7">
        <v>0</v>
      </c>
      <c r="N7">
        <v>4000</v>
      </c>
      <c r="O7">
        <f t="shared" si="0"/>
        <v>9.7016735386854229</v>
      </c>
    </row>
    <row r="8" spans="1:20" x14ac:dyDescent="0.2">
      <c r="A8" t="s">
        <v>57</v>
      </c>
      <c r="B8">
        <f t="shared" ref="B8:I8" si="1">SUM(B3:B7)</f>
        <v>993.69999999999993</v>
      </c>
      <c r="C8">
        <f t="shared" si="1"/>
        <v>4154.55</v>
      </c>
      <c r="D8">
        <f t="shared" si="1"/>
        <v>33.065000000000005</v>
      </c>
      <c r="E8">
        <f t="shared" si="1"/>
        <v>22.684999999999999</v>
      </c>
      <c r="F8">
        <f t="shared" si="1"/>
        <v>11.77</v>
      </c>
      <c r="G8">
        <f t="shared" si="1"/>
        <v>171.1</v>
      </c>
      <c r="H8">
        <f t="shared" si="1"/>
        <v>10.385</v>
      </c>
      <c r="I8">
        <f t="shared" si="1"/>
        <v>2705.3199999999997</v>
      </c>
      <c r="N8">
        <v>720</v>
      </c>
      <c r="O8">
        <f t="shared" si="0"/>
        <v>1.7463012369633761</v>
      </c>
    </row>
    <row r="9" spans="1:20" x14ac:dyDescent="0.2">
      <c r="N9">
        <v>75</v>
      </c>
      <c r="O9">
        <f t="shared" si="0"/>
        <v>0.18190637885035169</v>
      </c>
    </row>
    <row r="10" spans="1:20" x14ac:dyDescent="0.2">
      <c r="A10" t="s">
        <v>63</v>
      </c>
      <c r="B10">
        <f t="shared" ref="B10:I10" si="2">(B3+B4+B5+B6)*20/624</f>
        <v>31.006410256410255</v>
      </c>
      <c r="C10">
        <f t="shared" si="2"/>
        <v>129.61538461538461</v>
      </c>
      <c r="D10">
        <f t="shared" si="2"/>
        <v>1.0288461538461537</v>
      </c>
      <c r="E10">
        <f t="shared" si="2"/>
        <v>0.67628205128205121</v>
      </c>
      <c r="F10">
        <f t="shared" si="2"/>
        <v>0.37307692307692303</v>
      </c>
      <c r="G10">
        <f t="shared" si="2"/>
        <v>5.4198717948717947</v>
      </c>
      <c r="H10">
        <f t="shared" si="2"/>
        <v>0.27628205128205124</v>
      </c>
      <c r="I10">
        <f t="shared" si="2"/>
        <v>86.708974358974345</v>
      </c>
      <c r="N10">
        <v>1000</v>
      </c>
      <c r="O10">
        <f t="shared" si="0"/>
        <v>2.4254183846713557</v>
      </c>
    </row>
    <row r="11" spans="1:20" x14ac:dyDescent="0.2">
      <c r="A11" t="s">
        <v>62</v>
      </c>
      <c r="B11">
        <f t="shared" ref="B11:I11" si="3">B8*20/629</f>
        <v>31.596184419713833</v>
      </c>
      <c r="C11">
        <f t="shared" si="3"/>
        <v>132.10015898251191</v>
      </c>
      <c r="D11">
        <f t="shared" si="3"/>
        <v>1.0513513513513515</v>
      </c>
      <c r="E11">
        <f t="shared" si="3"/>
        <v>0.72130365659777418</v>
      </c>
      <c r="F11">
        <f t="shared" si="3"/>
        <v>0.37424483306836243</v>
      </c>
      <c r="G11">
        <f t="shared" si="3"/>
        <v>5.4403815580286166</v>
      </c>
      <c r="H11">
        <f t="shared" si="3"/>
        <v>0.33020667726550079</v>
      </c>
      <c r="I11">
        <f t="shared" si="3"/>
        <v>86.019713831478526</v>
      </c>
    </row>
    <row r="12" spans="1:20" x14ac:dyDescent="0.2">
      <c r="A12" t="s">
        <v>64</v>
      </c>
      <c r="B12">
        <f t="shared" ref="B12:I12" si="4">(B3+B5+B6)*20/567</f>
        <v>24.53615520282187</v>
      </c>
      <c r="C12">
        <f t="shared" si="4"/>
        <v>102.53968253968254</v>
      </c>
      <c r="D12">
        <f t="shared" si="4"/>
        <v>0.37883597883597886</v>
      </c>
      <c r="E12">
        <f t="shared" si="4"/>
        <v>3.5273368606701938E-2</v>
      </c>
      <c r="F12">
        <f t="shared" si="4"/>
        <v>0</v>
      </c>
      <c r="G12">
        <f t="shared" si="4"/>
        <v>5.928747795414461</v>
      </c>
      <c r="H12">
        <f t="shared" si="4"/>
        <v>0.30405643738977067</v>
      </c>
      <c r="I12">
        <f t="shared" si="4"/>
        <v>56.39929453262787</v>
      </c>
    </row>
    <row r="13" spans="1:20" x14ac:dyDescent="0.2">
      <c r="A13" t="s">
        <v>65</v>
      </c>
      <c r="B13">
        <f t="shared" ref="B13:I13" si="5">(B3+B5+B6+B7)*20/572</f>
        <v>25.24125874125874</v>
      </c>
      <c r="C13">
        <f t="shared" si="5"/>
        <v>105.50874125874125</v>
      </c>
      <c r="D13">
        <f t="shared" si="5"/>
        <v>0.40926573426573426</v>
      </c>
      <c r="E13">
        <f t="shared" si="5"/>
        <v>9.0384615384615383E-2</v>
      </c>
      <c r="F13">
        <f t="shared" si="5"/>
        <v>4.5454545454545452E-3</v>
      </c>
      <c r="G13">
        <f t="shared" si="5"/>
        <v>5.9468531468531456</v>
      </c>
      <c r="H13">
        <f t="shared" si="5"/>
        <v>0.3631118881118881</v>
      </c>
      <c r="I13">
        <f t="shared" si="5"/>
        <v>55.90629370629371</v>
      </c>
    </row>
    <row r="15" spans="1:20" x14ac:dyDescent="0.2">
      <c r="B15" t="s">
        <v>74</v>
      </c>
      <c r="D15" t="s">
        <v>52</v>
      </c>
      <c r="E15" t="s">
        <v>13</v>
      </c>
      <c r="F15" t="s">
        <v>53</v>
      </c>
      <c r="G15" t="s">
        <v>54</v>
      </c>
      <c r="H15" t="s">
        <v>61</v>
      </c>
      <c r="I15" t="s">
        <v>55</v>
      </c>
      <c r="J15" t="s">
        <v>56</v>
      </c>
      <c r="K15" t="s">
        <v>58</v>
      </c>
      <c r="O15">
        <v>6400</v>
      </c>
      <c r="P15">
        <v>50</v>
      </c>
      <c r="S15">
        <v>6400</v>
      </c>
      <c r="T15">
        <v>50</v>
      </c>
    </row>
    <row r="16" spans="1:20" x14ac:dyDescent="0.2">
      <c r="A16" t="s">
        <v>73</v>
      </c>
      <c r="B16">
        <f t="shared" ref="B16:B23" si="6">O3</f>
        <v>15.522677661896678</v>
      </c>
      <c r="D16">
        <v>180</v>
      </c>
      <c r="F16">
        <v>0</v>
      </c>
      <c r="G16">
        <v>0</v>
      </c>
      <c r="H16">
        <v>0</v>
      </c>
      <c r="I16">
        <v>45</v>
      </c>
      <c r="J16">
        <v>0</v>
      </c>
      <c r="K16">
        <v>0</v>
      </c>
      <c r="N16" t="s">
        <v>75</v>
      </c>
      <c r="O16">
        <v>23040</v>
      </c>
      <c r="P16">
        <f>23040*50/6400</f>
        <v>180</v>
      </c>
      <c r="Q16" t="s">
        <v>76</v>
      </c>
      <c r="R16" t="s">
        <v>77</v>
      </c>
      <c r="S16">
        <v>5760</v>
      </c>
      <c r="T16">
        <f>5760*50/6400</f>
        <v>45</v>
      </c>
    </row>
    <row r="17" spans="1:20" x14ac:dyDescent="0.2">
      <c r="A17" t="s">
        <v>67</v>
      </c>
      <c r="B17">
        <f t="shared" si="6"/>
        <v>9.9927237448459856</v>
      </c>
      <c r="Q17" t="s">
        <v>67</v>
      </c>
      <c r="T17">
        <f>704*50/2200</f>
        <v>16</v>
      </c>
    </row>
    <row r="18" spans="1:20" x14ac:dyDescent="0.2">
      <c r="A18" t="s">
        <v>68</v>
      </c>
      <c r="B18">
        <f t="shared" si="6"/>
        <v>5.0933786078098473</v>
      </c>
      <c r="Q18" t="s">
        <v>68</v>
      </c>
    </row>
    <row r="19" spans="1:20" x14ac:dyDescent="0.2">
      <c r="A19" t="s">
        <v>69</v>
      </c>
      <c r="B19">
        <f t="shared" si="6"/>
        <v>5.3359204462769831</v>
      </c>
      <c r="D19">
        <v>65</v>
      </c>
      <c r="F19">
        <v>0</v>
      </c>
      <c r="G19">
        <v>0</v>
      </c>
      <c r="H19">
        <v>0</v>
      </c>
      <c r="I19">
        <v>16</v>
      </c>
      <c r="J19">
        <v>0</v>
      </c>
      <c r="K19">
        <v>0</v>
      </c>
      <c r="P19">
        <f>2860*50/2200</f>
        <v>65</v>
      </c>
      <c r="Q19" t="s">
        <v>69</v>
      </c>
    </row>
    <row r="20" spans="1:20" x14ac:dyDescent="0.2">
      <c r="A20" t="s">
        <v>70</v>
      </c>
      <c r="B20">
        <f t="shared" si="6"/>
        <v>9.7016735386854229</v>
      </c>
      <c r="P20">
        <v>0</v>
      </c>
      <c r="Q20" t="s">
        <v>70</v>
      </c>
    </row>
    <row r="21" spans="1:20" x14ac:dyDescent="0.2">
      <c r="A21" t="s">
        <v>71</v>
      </c>
      <c r="B21">
        <f t="shared" si="6"/>
        <v>1.7463012369633761</v>
      </c>
      <c r="Q21" t="s">
        <v>71</v>
      </c>
    </row>
    <row r="22" spans="1:20" x14ac:dyDescent="0.2">
      <c r="A22" t="s">
        <v>59</v>
      </c>
      <c r="B22">
        <f t="shared" si="6"/>
        <v>0.18190637885035169</v>
      </c>
      <c r="Q22" t="s">
        <v>59</v>
      </c>
    </row>
    <row r="23" spans="1:20" x14ac:dyDescent="0.2">
      <c r="A23" t="s">
        <v>72</v>
      </c>
      <c r="B23">
        <f t="shared" si="6"/>
        <v>2.4254183846713557</v>
      </c>
      <c r="Q23" t="s">
        <v>72</v>
      </c>
    </row>
  </sheetData>
  <pageMargins left="0.27559055119999998" right="0.27559055119999998" top="0.29527559060000003" bottom="0.29527559060000003" header="0.1181102362" footer="0.11811023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tabela padrão</vt:lpstr>
      <vt:lpstr>Plan1</vt:lpstr>
      <vt:lpstr>calculo info nutricional</vt:lpstr>
      <vt:lpstr>'tabela padrão'!Area_de_impressao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Vanessa Tacchi</cp:lastModifiedBy>
  <cp:lastPrinted>2016-02-19T15:04:45Z</cp:lastPrinted>
  <dcterms:created xsi:type="dcterms:W3CDTF">2016-02-08T15:11:26Z</dcterms:created>
  <dcterms:modified xsi:type="dcterms:W3CDTF">2019-09-18T16:57:49Z</dcterms:modified>
</cp:coreProperties>
</file>